
<file path=[Content_Types].xml><?xml version="1.0" encoding="utf-8"?>
<Types xmlns="http://schemas.openxmlformats.org/package/2006/content-types"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Default Extension="xml" ContentType="application/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Default Extension="rels" ContentType="application/vnd.openxmlformats-package.relationships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0" yWindow="500" windowWidth="20720" windowHeight="13280" activeTab="2"/>
  </bookViews>
  <sheets>
    <sheet name="Budget" sheetId="1" r:id="rId1"/>
    <sheet name="PLA Grant expenditures" sheetId="4" r:id="rId2"/>
    <sheet name="PLA Collection Recap" sheetId="5" r:id="rId3"/>
    <sheet name="Grant Match" sheetId="3" r:id="rId4"/>
    <sheet name="OWL" sheetId="10" r:id="rId5"/>
    <sheet name="ARPA Grant Expenditures" sheetId="15" r:id="rId6"/>
    <sheet name="Book Hook Grant Expenditures" sheetId="16" r:id="rId7"/>
    <sheet name="Payroll" sheetId="6" r:id="rId8"/>
    <sheet name="Checking account" sheetId="7" r:id="rId9"/>
    <sheet name="contingency fund" sheetId="8" r:id="rId10"/>
    <sheet name="Cookbook fundraiser" sheetId="11" r:id="rId11"/>
    <sheet name="Covid Expenses" sheetId="13" r:id="rId12"/>
  </sheets>
  <definedNames>
    <definedName name="_xlnm.Print_Area" localSheetId="10">'Cookbook fundraiser'!$A$1:$R$40</definedName>
  </definedNames>
  <calcPr calcId="130000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6" i="15"/>
  <c r="C41"/>
  <c r="C22"/>
  <c r="D23"/>
  <c r="C23"/>
  <c r="C24"/>
  <c r="C29"/>
  <c r="C30"/>
  <c r="E18"/>
  <c r="E5"/>
  <c r="E6"/>
  <c r="E7"/>
  <c r="E8"/>
  <c r="E10"/>
  <c r="B6"/>
  <c r="B7"/>
  <c r="B10"/>
  <c r="B3"/>
  <c r="B11" i="16"/>
  <c r="B12"/>
  <c r="B13"/>
  <c r="B14"/>
  <c r="B15"/>
  <c r="B16"/>
  <c r="C20"/>
  <c r="C21"/>
  <c r="B19" i="1"/>
  <c r="B23"/>
  <c r="B28"/>
  <c r="B29"/>
  <c r="B30"/>
  <c r="B38"/>
  <c r="I36"/>
  <c r="I35"/>
  <c r="I33"/>
  <c r="I29"/>
  <c r="I28"/>
  <c r="I26"/>
  <c r="I24"/>
  <c r="I23"/>
  <c r="I22"/>
  <c r="I10"/>
  <c r="I11"/>
  <c r="B7"/>
  <c r="B13"/>
  <c r="I18"/>
  <c r="I19"/>
  <c r="I20"/>
  <c r="I21"/>
  <c r="I25"/>
  <c r="I27"/>
  <c r="I31"/>
  <c r="I32"/>
  <c r="I12"/>
  <c r="I13"/>
  <c r="I30"/>
  <c r="I38"/>
  <c r="D6" i="7"/>
  <c r="D8"/>
  <c r="D9"/>
  <c r="D11"/>
  <c r="D13"/>
  <c r="D12"/>
  <c r="D14"/>
  <c r="D16"/>
  <c r="D17"/>
  <c r="D18"/>
  <c r="D19"/>
  <c r="D21"/>
  <c r="D22"/>
  <c r="D23"/>
  <c r="D24"/>
  <c r="D28"/>
  <c r="D29"/>
  <c r="D31"/>
  <c r="D32"/>
  <c r="D33"/>
  <c r="D34"/>
  <c r="D37"/>
  <c r="D38"/>
  <c r="D39"/>
  <c r="D43"/>
  <c r="D44"/>
  <c r="D49"/>
  <c r="D53"/>
  <c r="D54"/>
  <c r="D59"/>
  <c r="D64"/>
  <c r="E35" i="8"/>
  <c r="E8"/>
  <c r="E9"/>
  <c r="E12"/>
  <c r="E13"/>
  <c r="E23"/>
  <c r="E14"/>
  <c r="E17"/>
  <c r="E25"/>
  <c r="E27"/>
  <c r="C16" i="11"/>
  <c r="C17"/>
  <c r="C18"/>
  <c r="C19"/>
  <c r="C20"/>
  <c r="C21"/>
  <c r="C22"/>
  <c r="C23"/>
  <c r="C24"/>
  <c r="C25"/>
  <c r="C26"/>
  <c r="C28"/>
  <c r="C10"/>
  <c r="C12"/>
  <c r="C3"/>
  <c r="C14"/>
  <c r="C30"/>
  <c r="C141"/>
  <c r="C144"/>
  <c r="C146"/>
  <c r="H128"/>
  <c r="C127"/>
  <c r="J123"/>
  <c r="C117"/>
  <c r="C38"/>
  <c r="A38"/>
  <c r="C4"/>
  <c r="C5"/>
  <c r="C7"/>
  <c r="J2"/>
  <c r="N5" i="3"/>
  <c r="N6"/>
  <c r="N7"/>
  <c r="N8"/>
  <c r="N9"/>
  <c r="N10"/>
  <c r="N11"/>
  <c r="N12"/>
  <c r="N13"/>
  <c r="N14"/>
  <c r="N15"/>
  <c r="N16"/>
  <c r="N18"/>
  <c r="C20"/>
  <c r="I18"/>
  <c r="G18"/>
  <c r="E18"/>
  <c r="C18"/>
  <c r="D22" i="10"/>
  <c r="C20"/>
  <c r="G20"/>
  <c r="H20"/>
  <c r="I20"/>
  <c r="E20"/>
  <c r="I8" i="6"/>
  <c r="I18"/>
  <c r="G18"/>
  <c r="I20"/>
  <c r="C5"/>
  <c r="C6"/>
  <c r="C18"/>
  <c r="E7"/>
  <c r="E18"/>
  <c r="C19"/>
  <c r="C20"/>
  <c r="C23" i="5"/>
  <c r="E23"/>
  <c r="H22"/>
  <c r="E5"/>
  <c r="E8"/>
  <c r="C22"/>
  <c r="E22"/>
  <c r="H21"/>
  <c r="D5"/>
  <c r="C21"/>
  <c r="E21"/>
  <c r="C4"/>
  <c r="C5"/>
  <c r="C6"/>
  <c r="C7"/>
  <c r="C8"/>
  <c r="C9"/>
  <c r="C10"/>
  <c r="C11"/>
  <c r="C12"/>
  <c r="C13"/>
  <c r="C14"/>
  <c r="C15"/>
  <c r="C17"/>
  <c r="C19"/>
  <c r="G17"/>
  <c r="E38" i="4"/>
  <c r="B38"/>
  <c r="F4"/>
  <c r="F5"/>
  <c r="F7"/>
  <c r="F8"/>
  <c r="C4"/>
  <c r="C10"/>
  <c r="C14"/>
  <c r="F12"/>
  <c r="F9"/>
  <c r="F16"/>
  <c r="C16"/>
</calcChain>
</file>

<file path=xl/sharedStrings.xml><?xml version="1.0" encoding="utf-8"?>
<sst xmlns="http://schemas.openxmlformats.org/spreadsheetml/2006/main" count="651" uniqueCount="430">
  <si>
    <t>Amazon purchases, statement image charge, RM annual fee, owl/qustudio,ED AK mag</t>
  </si>
  <si>
    <t>Museum</t>
  </si>
  <si>
    <t>Total cookbooks</t>
  </si>
  <si>
    <t>Library display</t>
  </si>
  <si>
    <t>Café -2</t>
  </si>
  <si>
    <t>awaiting money order</t>
  </si>
  <si>
    <t xml:space="preserve"> FY22 Profit:</t>
  </si>
  <si>
    <t>Total Profit FY22</t>
  </si>
  <si>
    <t>Collection Details</t>
  </si>
  <si>
    <t xml:space="preserve">Books </t>
  </si>
  <si>
    <t xml:space="preserve">DVDs </t>
  </si>
  <si>
    <t>Month</t>
  </si>
  <si>
    <t>Total Collection to date:</t>
  </si>
  <si>
    <t>Total Remaining:</t>
  </si>
  <si>
    <t>Amazon purchases,statement image charge, Prime,postage,supplies</t>
  </si>
  <si>
    <t>Amazon returns, $250 and $150 patron donations,.23 interest</t>
  </si>
  <si>
    <t>patron/donation jar/TKE SBA/patron/patron</t>
  </si>
  <si>
    <t>General Journal DDA Analysis fees</t>
  </si>
  <si>
    <t>Total in Checking Account:</t>
  </si>
  <si>
    <t>Total Contingency Fund:</t>
  </si>
  <si>
    <t>Wordpress setup, configurtion; site building.  One time fee</t>
  </si>
  <si>
    <t>Training (one time)</t>
  </si>
  <si>
    <t xml:space="preserve">Ongoing maint and new features 4 hours at $90  </t>
  </si>
  <si>
    <t>February Deposits</t>
  </si>
  <si>
    <t>statement image charge,postage,Amazon purchases</t>
  </si>
  <si>
    <t>Domain name $15 per year x 2 years</t>
  </si>
  <si>
    <t>Hosting $120 per year x 2 years</t>
  </si>
  <si>
    <t>Services Details of 1/4/2022 contract with Bear Star LLC</t>
  </si>
  <si>
    <t>see detailed services below</t>
  </si>
  <si>
    <t>RM/Web Opac</t>
  </si>
  <si>
    <t>statement image charge, postage, Amazon purchases, disputed Alibaba.com</t>
  </si>
  <si>
    <t>.17 interest, Amazon returns, includes 19.17 not shown as an offset</t>
  </si>
  <si>
    <t>Book Hook Grant</t>
  </si>
  <si>
    <t>Collection Book Hook</t>
  </si>
  <si>
    <t>Book Hook Grant Expenditures</t>
  </si>
  <si>
    <t>Collection details</t>
  </si>
  <si>
    <t>DVDs</t>
  </si>
  <si>
    <t xml:space="preserve">September </t>
  </si>
  <si>
    <t xml:space="preserve">October </t>
  </si>
  <si>
    <t xml:space="preserve">November </t>
  </si>
  <si>
    <t>MO fee/Statement image fee-July-April, Seaplanes freight for key</t>
  </si>
  <si>
    <t>.17 interest,Amaon returns</t>
  </si>
  <si>
    <t>Book Hook (1000) and Amazon returns, .14 checking interest</t>
  </si>
  <si>
    <t>ACS April, May, June</t>
  </si>
  <si>
    <t>statement image charge, postage, Amazon purchases</t>
  </si>
  <si>
    <t>Purchased on initial contract</t>
  </si>
  <si>
    <t>Available after initial build</t>
  </si>
  <si>
    <t xml:space="preserve">Consult </t>
  </si>
  <si>
    <t>Additional Coding</t>
  </si>
  <si>
    <t>Total hours available on</t>
  </si>
  <si>
    <t>Total hours remaining</t>
  </si>
  <si>
    <t xml:space="preserve">Bear Star, LLC consulting hours detail </t>
  </si>
  <si>
    <t>Date</t>
  </si>
  <si>
    <t>Description</t>
  </si>
  <si>
    <t>Hours</t>
  </si>
  <si>
    <t>See usage details under Bear Star, LLC consulting hours detail</t>
  </si>
  <si>
    <t xml:space="preserve">Budgeted FY 22 Payroll </t>
  </si>
  <si>
    <t>Program donations</t>
  </si>
  <si>
    <t>moccasins</t>
  </si>
  <si>
    <t>Total in Savings</t>
  </si>
  <si>
    <t>checking interest</t>
  </si>
  <si>
    <t>Encumbered funds FY21</t>
  </si>
  <si>
    <t>Terri Knaebel</t>
  </si>
  <si>
    <t>Marcia's friend</t>
  </si>
  <si>
    <t>Total Income</t>
  </si>
  <si>
    <t>Total Expenses</t>
  </si>
  <si>
    <t>Overall profit:</t>
  </si>
  <si>
    <t>Café -3</t>
  </si>
  <si>
    <t>café</t>
  </si>
  <si>
    <t>Cook book sales</t>
  </si>
  <si>
    <t>program money, cookbook, copies -FY21/ interest .05</t>
  </si>
  <si>
    <t>Café -4</t>
  </si>
  <si>
    <t>Cookbook sales/program donations</t>
  </si>
  <si>
    <t>FY21 payroll taxes</t>
  </si>
  <si>
    <t>FY21 Electric</t>
  </si>
  <si>
    <t>FY 21 Fuel</t>
  </si>
  <si>
    <t>Café-1</t>
  </si>
  <si>
    <t>cash deposited September for August books sold</t>
  </si>
  <si>
    <t xml:space="preserve">colored pencil program September </t>
  </si>
  <si>
    <t>Note: Margie's donation of $10 and the cash from the Rehfeld Book donation referenced in FY21 were actually deposited in Sept, 2021 (FY22)</t>
  </si>
  <si>
    <t>PLA Grant/amazon returns/interest .21</t>
  </si>
  <si>
    <t>ACS,Seaportel</t>
  </si>
  <si>
    <t>AK DigitalLibrary/Dordie-supplies/Seaportel</t>
  </si>
  <si>
    <t>approx per month</t>
  </si>
  <si>
    <t>Postage to Library</t>
  </si>
  <si>
    <t>to be used for ILL's</t>
  </si>
  <si>
    <t>postage from Cookbook to move to postage acct</t>
  </si>
  <si>
    <t>credit for stamps the cookbooks "sold" to Library</t>
  </si>
  <si>
    <t>ILL postage</t>
  </si>
  <si>
    <t>office supplies/masks/keys</t>
  </si>
  <si>
    <t>9/9/21 deposit 100.00</t>
  </si>
  <si>
    <t xml:space="preserve">Total: </t>
  </si>
  <si>
    <t>and postage sale</t>
  </si>
  <si>
    <t>Lisa Speno</t>
  </si>
  <si>
    <t>2 closure weeks</t>
  </si>
  <si>
    <t>Oct 17-30</t>
  </si>
  <si>
    <t>cook book sales and donations, amazon returns, amazon credits, OWL money, interest .21</t>
  </si>
  <si>
    <t>amazon charges, postage, DEMCO &amp; Library Store, statement image charge</t>
  </si>
  <si>
    <t>Seaportel/Kim-postage/ACS/Mary Claire-keys</t>
  </si>
  <si>
    <t>amazon credits,.19 interest</t>
  </si>
  <si>
    <t>amazon charges</t>
  </si>
  <si>
    <t>ARPA Grant Expenditures</t>
  </si>
  <si>
    <t>ARPA Grant</t>
  </si>
  <si>
    <t>PLA Grant</t>
  </si>
  <si>
    <t>amazon purchases,statement image charge</t>
  </si>
  <si>
    <t xml:space="preserve">grant, amazon credits, .23 interest </t>
  </si>
  <si>
    <t>Budget</t>
  </si>
  <si>
    <t>Services</t>
  </si>
  <si>
    <t>Ink Cartridges</t>
  </si>
  <si>
    <t>2 Surface Pro, 2 surface Arc Mouse, Officejet Printer</t>
  </si>
  <si>
    <t>Total Actual</t>
  </si>
  <si>
    <t>Collection PLA Grant</t>
  </si>
  <si>
    <t>Collection ARPA</t>
  </si>
  <si>
    <t>Equipment ARPA</t>
  </si>
  <si>
    <t>supplies ARPA</t>
  </si>
  <si>
    <t>services ARPA</t>
  </si>
  <si>
    <t>Amazon returns, $200 donation from TKE Small Business Assoc, .27 interest</t>
  </si>
  <si>
    <t>Seaportel, Lisa for tablets</t>
  </si>
  <si>
    <t>Money order fees</t>
  </si>
  <si>
    <t>AKLA membership</t>
  </si>
  <si>
    <t>Kriss Hart-54</t>
  </si>
  <si>
    <t>Chris Ashenbrenner-2</t>
  </si>
  <si>
    <t>Mica Bane</t>
  </si>
  <si>
    <t>1080.00 cookbooks</t>
  </si>
  <si>
    <t>at $20 ea.</t>
  </si>
  <si>
    <t>(PLA grant match from City)</t>
  </si>
  <si>
    <t>(City grant)</t>
  </si>
  <si>
    <t>$288 -OWL portion for Hughesnet Internet</t>
  </si>
  <si>
    <t>Note: payroll taxes are paid by the City with PLA grant matching funds</t>
  </si>
  <si>
    <t>Lisa</t>
  </si>
  <si>
    <t>In some cases however multiple cookbooks went to one person amounting to a different postage amount</t>
  </si>
  <si>
    <t>boxed in the library</t>
  </si>
  <si>
    <t>Shawna -5</t>
  </si>
  <si>
    <t>Teresa-4</t>
  </si>
  <si>
    <t>Julie Hamilton-3</t>
  </si>
  <si>
    <t>Kris Hart- 54, Mica Bane -5, Lisa, Cynthia, Teresa -4, Julie Hamilton-3, Shawna-5, Jeanie-2</t>
  </si>
  <si>
    <t>Jeanie -2</t>
  </si>
  <si>
    <t>Zenger-2</t>
  </si>
  <si>
    <t>Lisa Munson-4</t>
  </si>
  <si>
    <t xml:space="preserve">cookbook envelopes </t>
  </si>
  <si>
    <t>Julie Hamilton-2</t>
  </si>
  <si>
    <t>Julie Hamilton</t>
  </si>
  <si>
    <t>5 mailed</t>
  </si>
  <si>
    <t>Bev Patch</t>
  </si>
  <si>
    <t>Other - Bank charges</t>
  </si>
  <si>
    <t>PLA Grant FY 22</t>
  </si>
  <si>
    <t>Collection FY22</t>
  </si>
  <si>
    <t>FY22 OWL contribution</t>
  </si>
  <si>
    <t>FY22</t>
  </si>
  <si>
    <t>June 30, 2021 Balance</t>
  </si>
  <si>
    <t>Beginning balance July 01, 2021</t>
  </si>
  <si>
    <t>Balance in Savings Account</t>
  </si>
  <si>
    <t>FY2021- FY22 Fundraiser is the sale of our Tenakee Library cookbooks</t>
  </si>
  <si>
    <t>FY21:</t>
  </si>
  <si>
    <t>FY 21 Profit:</t>
  </si>
  <si>
    <t>Total Cookbook funds raised:</t>
  </si>
  <si>
    <t>includes initial printing expense</t>
  </si>
  <si>
    <t>FY22 Dermott O'Toole Memorial Library Budget/Financial Reconcilliation</t>
  </si>
  <si>
    <t>Since the bill comes due in May we need to budget for FY23 in FY22.</t>
  </si>
  <si>
    <t>AKLA Membership fee</t>
  </si>
  <si>
    <t>Note: the city still does have some CARES Act money that doesn’t need to be spent until Dec 2021 and we could potentially have more to spend here.</t>
  </si>
  <si>
    <t>Contingency Fund</t>
  </si>
  <si>
    <t>*Note We paid for WebOPAC for FY21 in FY20 with grant funds. It was paid for FY22 with Covid funds.</t>
  </si>
  <si>
    <t>*Dordie is not anticipating purchasing any equipment this year with grant funds</t>
  </si>
  <si>
    <t xml:space="preserve">Amazon Prime, RM annual support, WebOPAC </t>
  </si>
  <si>
    <t>Amazon Prime,RM annual support,WebOPAC, Phone, postage</t>
  </si>
  <si>
    <t>Balance in Checking account</t>
  </si>
  <si>
    <t>Expenses</t>
  </si>
  <si>
    <t>Income</t>
  </si>
  <si>
    <t>Carol Knuth</t>
  </si>
  <si>
    <t>Kim</t>
  </si>
  <si>
    <t>Zenger-2, Lisa Munson-4. Julie Hamilton - 3, Bev Patch, Carol Knuth, Kim</t>
  </si>
  <si>
    <t>86 sold &amp; 64 mailed</t>
  </si>
  <si>
    <t>Mary</t>
  </si>
  <si>
    <t>Wendy</t>
  </si>
  <si>
    <t>Nancy</t>
  </si>
  <si>
    <t>Tom</t>
  </si>
  <si>
    <t>Larry</t>
  </si>
  <si>
    <t>Helene</t>
  </si>
  <si>
    <t>Stephanie</t>
  </si>
  <si>
    <t xml:space="preserve">Roz </t>
  </si>
  <si>
    <t xml:space="preserve">Jo </t>
  </si>
  <si>
    <t>Janice-2</t>
  </si>
  <si>
    <t>Al -4</t>
  </si>
  <si>
    <t>Mike</t>
  </si>
  <si>
    <t>Kris</t>
  </si>
  <si>
    <t>Sue</t>
  </si>
  <si>
    <t>Total to date:</t>
  </si>
  <si>
    <t>second book</t>
  </si>
  <si>
    <t>Marcia-6/Vicki W-5/Cynthia-2/MaryClaire/Beret/Kathy Traeger/Sally Bibb/Michelle Kaelke/Buckley</t>
  </si>
  <si>
    <t>Bernstein-4,Margie-2,JoanieGates-2,Debbie Carter,LisaS-2,Anne</t>
  </si>
  <si>
    <t>Sheet 1</t>
  </si>
  <si>
    <t>31 Sold</t>
  </si>
  <si>
    <t>3 mailed</t>
  </si>
  <si>
    <t>Sheet 2</t>
  </si>
  <si>
    <t>Lisa C-5,Kim-3,Narissa Beaver,Munoz,Shirley Kaltenbach,Jay Savel *,Mary Thomas,Wendy,Nancy DeCherney</t>
  </si>
  <si>
    <t>Tom Powers/Larry Mowry, Helen Edelman,Stephanie Brown,Kathy Traeger-gift,Roz Goodman</t>
  </si>
  <si>
    <t>sheet 2</t>
  </si>
  <si>
    <t>16 mailed</t>
  </si>
  <si>
    <t>21 sold</t>
  </si>
  <si>
    <t>sheet 3</t>
  </si>
  <si>
    <t>sheet 4</t>
  </si>
  <si>
    <t>Jo Bloom,Janice Schultz-2, Al Rubin-4,Myron/Lewis-2,Kris King,Mike Moberly,Sue Horwath</t>
  </si>
  <si>
    <t>Library display, Lisa</t>
  </si>
  <si>
    <t>Annie</t>
  </si>
  <si>
    <t>Myron/Lewis-2</t>
  </si>
  <si>
    <t>Vicki W-5</t>
  </si>
  <si>
    <t>Rena-2</t>
  </si>
  <si>
    <t>Susan Block</t>
  </si>
  <si>
    <t>Dorothy Kreiger-4</t>
  </si>
  <si>
    <t>no envelope -from MC</t>
  </si>
  <si>
    <t>25 sold</t>
  </si>
  <si>
    <t>10 mailed</t>
  </si>
  <si>
    <t>Rena Baldwin-2,Kathleen Moore-3,Julie Kraabel-2,McBeen,Leann Powers</t>
  </si>
  <si>
    <t xml:space="preserve">*Jay Savel paid for 2 cookbooks but only received one. </t>
  </si>
  <si>
    <t>Natalee Rothaus</t>
  </si>
  <si>
    <t>Carla Seibel</t>
  </si>
  <si>
    <t>Kathy Moore-3</t>
  </si>
  <si>
    <t>Julie Kraabel-2</t>
  </si>
  <si>
    <t>Joan McBeen</t>
  </si>
  <si>
    <t>Leann Powers</t>
  </si>
  <si>
    <t>Annie Boochever, Vicki W-5, Dorothy Kreiger-4,Susan Block,Natalee Rothaus,Carla Seibel</t>
  </si>
  <si>
    <t>Qustodio</t>
  </si>
  <si>
    <t>for filtering</t>
  </si>
  <si>
    <t>Cindy Downer</t>
  </si>
  <si>
    <t>Cheryl Reinecker</t>
  </si>
  <si>
    <t>Darlene Robertson-2</t>
  </si>
  <si>
    <t>2 checks,10&amp;40</t>
  </si>
  <si>
    <t>Linnea donated 50 envelopes after I used the first ones we purchased.</t>
  </si>
  <si>
    <t>Cyndy Downer, Cheryl Rienecker, Darlene Robertson-2, Jolyn Thornburg-2</t>
  </si>
  <si>
    <t>Jolyn Thornburg-2</t>
  </si>
  <si>
    <t>no envelope</t>
  </si>
  <si>
    <t>This is funded by the City of Tenakee Springs</t>
  </si>
  <si>
    <t>Marcia M -2</t>
  </si>
  <si>
    <t>Nicki</t>
  </si>
  <si>
    <t>Cookbook postage</t>
  </si>
  <si>
    <t xml:space="preserve">cookbook &amp; Errata postage </t>
  </si>
  <si>
    <t>*</t>
  </si>
  <si>
    <t>Rena -2 more</t>
  </si>
  <si>
    <t>9 mailed</t>
  </si>
  <si>
    <t>Marcia-2, Chris Ashenbrenner-2, Nicki (Rocky's wife), Rena Baldwin-2 more, Kathy Traeger,Bethers,Steve</t>
  </si>
  <si>
    <t>sheet 5</t>
  </si>
  <si>
    <t>Kathy Traeger</t>
  </si>
  <si>
    <t>Mike Bethers</t>
  </si>
  <si>
    <t>Steve Holland</t>
  </si>
  <si>
    <t>Total OWL Grant</t>
  </si>
  <si>
    <t>Total remaining</t>
  </si>
  <si>
    <t>AK digital Network</t>
  </si>
  <si>
    <t>ISP beyond initial $500</t>
  </si>
  <si>
    <t>Digital Materials</t>
  </si>
  <si>
    <t>Initial ISP services</t>
  </si>
  <si>
    <t>Services (not internet)</t>
  </si>
  <si>
    <t>Total DVD's</t>
  </si>
  <si>
    <t>ACS-phone(grant funds)</t>
  </si>
  <si>
    <t>Total books</t>
  </si>
  <si>
    <t>Total Subscriptions</t>
  </si>
  <si>
    <t>HughesNet</t>
  </si>
  <si>
    <t>Total Income:</t>
  </si>
  <si>
    <t>Total Expenses:</t>
  </si>
  <si>
    <t>Expenses:</t>
  </si>
  <si>
    <t>500 hours annually.  $18/hour for 10 hours per week. The library is to be closed for 2 weeks per our state grant.</t>
  </si>
  <si>
    <t>books, movies, subscriptions (see collections tab for detail)</t>
  </si>
  <si>
    <t>Reading/Educational Programs</t>
  </si>
  <si>
    <t>(The library pays $600 per year using grant funds for HughesNet)</t>
  </si>
  <si>
    <t>OWL $</t>
  </si>
  <si>
    <t>Library (Grant $)</t>
  </si>
  <si>
    <t>Total Annual HughesNet Cost:</t>
  </si>
  <si>
    <t>OWL $ for internet</t>
  </si>
  <si>
    <t>HughesNet - Library portion</t>
  </si>
  <si>
    <t>Equipment</t>
  </si>
  <si>
    <t>Books</t>
  </si>
  <si>
    <t>DVD's</t>
  </si>
  <si>
    <t>At the YE final accounting reading/educational line item will go in this category on the grant report</t>
  </si>
  <si>
    <t>Total OWL $ Spent</t>
  </si>
  <si>
    <t xml:space="preserve">                   Total Books and DVD's to date:</t>
  </si>
  <si>
    <t xml:space="preserve">                                           Total Actual:</t>
  </si>
  <si>
    <t xml:space="preserve">                 Total Remaining:</t>
  </si>
  <si>
    <t>Spent to date:</t>
  </si>
  <si>
    <t>Budgeted:</t>
  </si>
  <si>
    <t>Remaining</t>
  </si>
  <si>
    <t>Hughesnet after initial $500</t>
  </si>
  <si>
    <t>Total Budgeted</t>
  </si>
  <si>
    <t>Initial expense</t>
  </si>
  <si>
    <t>Feb 28 Balance</t>
  </si>
  <si>
    <t>Jan 31 Balance</t>
  </si>
  <si>
    <t>Programs (Reading/Educational)</t>
  </si>
  <si>
    <t>Cookbooks will cost $20 each and we have 225 to sell. We received 226 and donated one to Cynthia</t>
  </si>
  <si>
    <t xml:space="preserve">Potential income is: </t>
  </si>
  <si>
    <t>Cookbook sales</t>
  </si>
  <si>
    <t xml:space="preserve">We need to sell 47 cookbooks to recoup our initial investment. </t>
  </si>
  <si>
    <t>(FY20)</t>
  </si>
  <si>
    <t>Note: each cookbook costs $3.13 to mail out using just a plain manilla envelope.</t>
  </si>
  <si>
    <t>Total Profit:</t>
  </si>
  <si>
    <t>Total expenses:</t>
  </si>
  <si>
    <t>sold</t>
  </si>
  <si>
    <t>Recap:</t>
  </si>
  <si>
    <t>Sales tracking:</t>
  </si>
  <si>
    <t xml:space="preserve">Marcia - 6 </t>
  </si>
  <si>
    <t>cash</t>
  </si>
  <si>
    <t>check</t>
  </si>
  <si>
    <t>Vicki -5</t>
  </si>
  <si>
    <t>Cynthia-2</t>
  </si>
  <si>
    <t>MC</t>
  </si>
  <si>
    <t>Beret</t>
  </si>
  <si>
    <t>Kathy T.</t>
  </si>
  <si>
    <t>Michelle</t>
  </si>
  <si>
    <t>Sally</t>
  </si>
  <si>
    <t>Anne</t>
  </si>
  <si>
    <t>Buckley</t>
  </si>
  <si>
    <t>MC-4</t>
  </si>
  <si>
    <t>Joanie-2</t>
  </si>
  <si>
    <t>Margie-2</t>
  </si>
  <si>
    <t>Deb C</t>
  </si>
  <si>
    <t>Lisa S-2</t>
  </si>
  <si>
    <t>mailed</t>
  </si>
  <si>
    <t>Lisa C-5</t>
  </si>
  <si>
    <t>Kim-3</t>
  </si>
  <si>
    <t>Nerissa</t>
  </si>
  <si>
    <t>Cathy</t>
  </si>
  <si>
    <t>Shirley</t>
  </si>
  <si>
    <t>Jay</t>
  </si>
  <si>
    <t>1 mailed</t>
  </si>
  <si>
    <t>Projected Income</t>
  </si>
  <si>
    <t>Income:</t>
  </si>
  <si>
    <t>City Matching Grant funds</t>
  </si>
  <si>
    <t>City Salary donation</t>
  </si>
  <si>
    <t>Donations</t>
  </si>
  <si>
    <t>Interest</t>
  </si>
  <si>
    <t>Total:</t>
  </si>
  <si>
    <t>Projected Expenditures</t>
  </si>
  <si>
    <t>Salary</t>
  </si>
  <si>
    <t>Collection</t>
  </si>
  <si>
    <t>books and DVD's</t>
  </si>
  <si>
    <t>Subscriptions</t>
  </si>
  <si>
    <t>supplies</t>
  </si>
  <si>
    <t>Internet</t>
  </si>
  <si>
    <t>Phone</t>
  </si>
  <si>
    <t>Postage</t>
  </si>
  <si>
    <t>Misc</t>
  </si>
  <si>
    <t>Actual</t>
  </si>
  <si>
    <t>July</t>
  </si>
  <si>
    <t>August</t>
  </si>
  <si>
    <t>Sept</t>
  </si>
  <si>
    <t>Oct</t>
  </si>
  <si>
    <t>Nov</t>
  </si>
  <si>
    <t>Dec</t>
  </si>
  <si>
    <t>Jan</t>
  </si>
  <si>
    <t>Feb</t>
  </si>
  <si>
    <t>Mar</t>
  </si>
  <si>
    <t>April</t>
  </si>
  <si>
    <t>May</t>
  </si>
  <si>
    <t>June</t>
  </si>
  <si>
    <t xml:space="preserve">Grant Match </t>
  </si>
  <si>
    <t>Insurance</t>
  </si>
  <si>
    <t>Electric</t>
  </si>
  <si>
    <t>Fuel</t>
  </si>
  <si>
    <t>Payroll taxes</t>
  </si>
  <si>
    <t>Other</t>
  </si>
  <si>
    <t>Total per month</t>
  </si>
  <si>
    <t>October</t>
  </si>
  <si>
    <t>November</t>
  </si>
  <si>
    <t>December</t>
  </si>
  <si>
    <t>January</t>
  </si>
  <si>
    <t>February</t>
  </si>
  <si>
    <t>March</t>
  </si>
  <si>
    <t>Total Remaining</t>
  </si>
  <si>
    <t>Budget:</t>
  </si>
  <si>
    <t>Supplies</t>
  </si>
  <si>
    <t>September</t>
  </si>
  <si>
    <t>Apr</t>
  </si>
  <si>
    <t>Jun</t>
  </si>
  <si>
    <t>Total</t>
  </si>
  <si>
    <t>Aug</t>
  </si>
  <si>
    <t>Total collection to date:</t>
  </si>
  <si>
    <t>Total remaining:</t>
  </si>
  <si>
    <t>Checking account reconcilliation</t>
  </si>
  <si>
    <t>July Checks</t>
  </si>
  <si>
    <t>July deposits/credits</t>
  </si>
  <si>
    <t>July debits</t>
  </si>
  <si>
    <t>July 31 Balance</t>
  </si>
  <si>
    <t>August Checks</t>
  </si>
  <si>
    <t>August Deposits</t>
  </si>
  <si>
    <t>August debits</t>
  </si>
  <si>
    <t>August 31 Balance</t>
  </si>
  <si>
    <t>September Checks</t>
  </si>
  <si>
    <t>September debits</t>
  </si>
  <si>
    <t>September Deposits</t>
  </si>
  <si>
    <t>September 30 balance</t>
  </si>
  <si>
    <t>October checks</t>
  </si>
  <si>
    <t>October debits</t>
  </si>
  <si>
    <t>October deposits</t>
  </si>
  <si>
    <t>October 30 balance</t>
  </si>
  <si>
    <t>November debits</t>
  </si>
  <si>
    <t>November deposits</t>
  </si>
  <si>
    <t>Nov 30 Balance</t>
  </si>
  <si>
    <t>December checks</t>
  </si>
  <si>
    <t>December Debits</t>
  </si>
  <si>
    <t>December Deposits</t>
  </si>
  <si>
    <t>Dec 31 Balance</t>
  </si>
  <si>
    <t>January checks</t>
  </si>
  <si>
    <t>January Debits</t>
  </si>
  <si>
    <t>January Deposits</t>
  </si>
  <si>
    <t>February checks</t>
  </si>
  <si>
    <t>February debits</t>
  </si>
  <si>
    <t>March checks</t>
  </si>
  <si>
    <t>March debits</t>
  </si>
  <si>
    <t>March deposits</t>
  </si>
  <si>
    <t>March 31 Balance</t>
  </si>
  <si>
    <t>April Checks</t>
  </si>
  <si>
    <t>April Debits</t>
  </si>
  <si>
    <t>April Deposits</t>
  </si>
  <si>
    <t>April 30 Balance</t>
  </si>
  <si>
    <t>May Checks</t>
  </si>
  <si>
    <t>May Debits</t>
  </si>
  <si>
    <t>May deposits</t>
  </si>
  <si>
    <t>May 31 Balance</t>
  </si>
  <si>
    <t>June Checks</t>
  </si>
  <si>
    <t>June Debits</t>
  </si>
  <si>
    <t>June deposits</t>
  </si>
  <si>
    <t>June 30 Balance</t>
  </si>
  <si>
    <t>Payroll</t>
  </si>
  <si>
    <t>Fuel/Electric/PR taxes/Ins</t>
  </si>
  <si>
    <t>Dordie Carter</t>
  </si>
  <si>
    <t># hours worked</t>
  </si>
  <si>
    <t>DOML Board of Directors Contingency fund</t>
  </si>
  <si>
    <t>Total by employee</t>
  </si>
  <si>
    <t>Total Payroll to date</t>
  </si>
  <si>
    <t>ACS</t>
  </si>
  <si>
    <t>November checks</t>
  </si>
  <si>
    <t>Budgeted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</si>
</sst>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  <numFmt numFmtId="166" formatCode="m/d/yyyy;@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6" fontId="0" fillId="0" borderId="0" xfId="0" applyNumberFormat="1"/>
    <xf numFmtId="164" fontId="0" fillId="0" borderId="0" xfId="0" applyNumberFormat="1"/>
    <xf numFmtId="44" fontId="0" fillId="0" borderId="0" xfId="0" applyNumberFormat="1"/>
    <xf numFmtId="8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164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/>
    <xf numFmtId="14" fontId="0" fillId="0" borderId="0" xfId="0" applyNumberFormat="1"/>
    <xf numFmtId="6" fontId="0" fillId="0" borderId="0" xfId="0" applyNumberFormat="1" applyFill="1"/>
    <xf numFmtId="0" fontId="2" fillId="0" borderId="0" xfId="0" applyFont="1"/>
    <xf numFmtId="8" fontId="2" fillId="0" borderId="0" xfId="0" applyNumberFormat="1" applyFont="1"/>
    <xf numFmtId="6" fontId="2" fillId="0" borderId="0" xfId="0" applyNumberFormat="1" applyFont="1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 applyFill="1"/>
    <xf numFmtId="164" fontId="4" fillId="0" borderId="0" xfId="0" applyNumberFormat="1" applyFont="1"/>
    <xf numFmtId="8" fontId="4" fillId="0" borderId="0" xfId="0" applyNumberFormat="1" applyFont="1" applyFill="1"/>
    <xf numFmtId="0" fontId="0" fillId="2" borderId="0" xfId="0" applyFill="1"/>
    <xf numFmtId="164" fontId="1" fillId="0" borderId="0" xfId="0" applyNumberFormat="1" applyFont="1" applyFill="1"/>
    <xf numFmtId="0" fontId="1" fillId="0" borderId="0" xfId="0" applyFont="1" applyFill="1"/>
    <xf numFmtId="8" fontId="1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0" fillId="0" borderId="0" xfId="0" applyFont="1"/>
    <xf numFmtId="165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T42"/>
  <sheetViews>
    <sheetView topLeftCell="A29" workbookViewId="0">
      <selection activeCell="I12" sqref="I12"/>
    </sheetView>
  </sheetViews>
  <sheetFormatPr baseColWidth="10" defaultColWidth="8.83203125" defaultRowHeight="14" outlineLevelRow="1"/>
  <cols>
    <col min="2" max="2" width="13.83203125" customWidth="1"/>
    <col min="3" max="3" width="9.5" bestFit="1" customWidth="1"/>
    <col min="9" max="9" width="11.6640625" style="2" customWidth="1"/>
    <col min="10" max="10" width="50" customWidth="1"/>
  </cols>
  <sheetData>
    <row r="1" spans="1:10">
      <c r="A1" s="7" t="s">
        <v>157</v>
      </c>
      <c r="B1" s="7"/>
      <c r="C1" s="7"/>
      <c r="D1" s="7"/>
      <c r="E1" s="7"/>
      <c r="F1" s="7"/>
      <c r="G1" s="7"/>
      <c r="H1" s="7"/>
    </row>
    <row r="3" spans="1:10">
      <c r="B3" t="s">
        <v>322</v>
      </c>
      <c r="I3" s="2" t="s">
        <v>339</v>
      </c>
    </row>
    <row r="4" spans="1:10" outlineLevel="1">
      <c r="A4" t="s">
        <v>323</v>
      </c>
      <c r="B4" s="1">
        <v>7000</v>
      </c>
      <c r="C4" t="s">
        <v>103</v>
      </c>
      <c r="I4" s="2">
        <v>7000</v>
      </c>
    </row>
    <row r="5" spans="1:10" outlineLevel="1">
      <c r="B5" s="4">
        <v>5988</v>
      </c>
      <c r="C5" t="s">
        <v>102</v>
      </c>
      <c r="I5" s="2">
        <v>5988</v>
      </c>
    </row>
    <row r="6" spans="1:10" outlineLevel="1">
      <c r="B6" s="4">
        <v>1000</v>
      </c>
      <c r="C6" t="s">
        <v>32</v>
      </c>
      <c r="I6" s="2">
        <v>1000</v>
      </c>
    </row>
    <row r="7" spans="1:10" outlineLevel="1">
      <c r="B7" s="6">
        <f>288+107.46</f>
        <v>395.46</v>
      </c>
      <c r="C7" t="s">
        <v>267</v>
      </c>
      <c r="I7" s="2">
        <v>395.46</v>
      </c>
    </row>
    <row r="8" spans="1:10" outlineLevel="1">
      <c r="B8" s="1">
        <v>3000</v>
      </c>
      <c r="C8" t="s">
        <v>324</v>
      </c>
      <c r="I8" s="2">
        <v>3000</v>
      </c>
    </row>
    <row r="9" spans="1:10" outlineLevel="1">
      <c r="B9" s="2">
        <v>9000</v>
      </c>
      <c r="C9" t="s">
        <v>325</v>
      </c>
      <c r="I9" s="2">
        <v>9000</v>
      </c>
    </row>
    <row r="10" spans="1:10" ht="17.75" customHeight="1" outlineLevel="1">
      <c r="B10" s="2">
        <v>100</v>
      </c>
      <c r="C10" t="s">
        <v>326</v>
      </c>
      <c r="I10" s="2">
        <f>20+9+200+250+150</f>
        <v>629</v>
      </c>
      <c r="J10" s="5" t="s">
        <v>16</v>
      </c>
    </row>
    <row r="11" spans="1:10" outlineLevel="1">
      <c r="B11" s="2">
        <v>1</v>
      </c>
      <c r="C11" t="s">
        <v>60</v>
      </c>
      <c r="I11" s="2">
        <f>0.05+0.21+0.21+0.19+0.23+0.23+0.17+0.14</f>
        <v>1.4299999999999997</v>
      </c>
    </row>
    <row r="12" spans="1:10" outlineLevel="1">
      <c r="B12" s="2">
        <v>494</v>
      </c>
      <c r="C12" t="s">
        <v>161</v>
      </c>
      <c r="I12" s="2">
        <f>'contingency fund'!E14+'contingency fund'!E13</f>
        <v>557.46</v>
      </c>
      <c r="J12" t="s">
        <v>72</v>
      </c>
    </row>
    <row r="13" spans="1:10">
      <c r="A13" t="s">
        <v>328</v>
      </c>
      <c r="B13" s="3">
        <f>SUM(B4:B12)</f>
        <v>26978.46</v>
      </c>
      <c r="I13" s="2">
        <f>SUM(I4:I12)</f>
        <v>27571.35</v>
      </c>
    </row>
    <row r="14" spans="1:10">
      <c r="B14" s="3"/>
    </row>
    <row r="15" spans="1:10">
      <c r="B15" s="3"/>
    </row>
    <row r="16" spans="1:10">
      <c r="B16" s="3"/>
    </row>
    <row r="17" spans="1:15">
      <c r="B17" t="s">
        <v>329</v>
      </c>
      <c r="I17" s="2" t="s">
        <v>339</v>
      </c>
    </row>
    <row r="18" spans="1:15" outlineLevel="1">
      <c r="B18" s="2">
        <v>9000</v>
      </c>
      <c r="C18" t="s">
        <v>330</v>
      </c>
      <c r="D18" t="s">
        <v>126</v>
      </c>
      <c r="I18" s="2">
        <f>Payroll!C19</f>
        <v>7470</v>
      </c>
    </row>
    <row r="19" spans="1:15" outlineLevel="1">
      <c r="B19" s="6">
        <f>288+107.46</f>
        <v>395.46</v>
      </c>
      <c r="C19" t="s">
        <v>264</v>
      </c>
      <c r="I19" s="2">
        <f>OWL!H20</f>
        <v>395.46</v>
      </c>
    </row>
    <row r="20" spans="1:15" outlineLevel="1">
      <c r="B20" s="2">
        <v>3000</v>
      </c>
      <c r="C20" t="s">
        <v>421</v>
      </c>
      <c r="F20" t="s">
        <v>125</v>
      </c>
      <c r="I20" s="2">
        <f>'Grant Match'!N18</f>
        <v>3016.1800000000003</v>
      </c>
    </row>
    <row r="21" spans="1:15" outlineLevel="1">
      <c r="B21" s="22">
        <v>3800</v>
      </c>
      <c r="C21" t="s">
        <v>111</v>
      </c>
      <c r="E21" t="s">
        <v>332</v>
      </c>
      <c r="G21" s="19"/>
      <c r="I21" s="2">
        <f>'PLA Collection Recap'!C17</f>
        <v>3988.71</v>
      </c>
    </row>
    <row r="22" spans="1:15" outlineLevel="1">
      <c r="B22" s="22">
        <v>2500</v>
      </c>
      <c r="C22" t="s">
        <v>112</v>
      </c>
      <c r="G22" s="19"/>
      <c r="I22" s="2">
        <f>'ARPA Grant Expenditures'!E5</f>
        <v>844</v>
      </c>
    </row>
    <row r="23" spans="1:15" outlineLevel="1">
      <c r="B23" s="22">
        <f>'ARPA Grant Expenditures'!B6</f>
        <v>2119.9300000000003</v>
      </c>
      <c r="C23" t="s">
        <v>113</v>
      </c>
      <c r="G23" s="19"/>
      <c r="I23" s="2">
        <f>'ARPA Grant Expenditures'!E6</f>
        <v>2085.5</v>
      </c>
    </row>
    <row r="24" spans="1:15" outlineLevel="1">
      <c r="B24" s="22">
        <v>1000</v>
      </c>
      <c r="C24" t="s">
        <v>33</v>
      </c>
      <c r="G24" s="19"/>
      <c r="I24" s="2">
        <f>'Book Hook Grant Expenditures'!C20</f>
        <v>0</v>
      </c>
    </row>
    <row r="25" spans="1:15" outlineLevel="1">
      <c r="B25" s="6">
        <v>200</v>
      </c>
      <c r="C25" t="s">
        <v>333</v>
      </c>
      <c r="I25" s="2">
        <f>'PLA Collection Recap'!C23</f>
        <v>164.14</v>
      </c>
    </row>
    <row r="26" spans="1:15" outlineLevel="1">
      <c r="A26" t="s">
        <v>237</v>
      </c>
      <c r="B26" s="22">
        <v>430</v>
      </c>
      <c r="C26" t="s">
        <v>164</v>
      </c>
      <c r="G26" s="18"/>
      <c r="I26" s="2">
        <f>SUM(162+119+199)</f>
        <v>480</v>
      </c>
    </row>
    <row r="27" spans="1:15" outlineLevel="1">
      <c r="B27" s="6">
        <v>500</v>
      </c>
      <c r="C27" t="s">
        <v>334</v>
      </c>
      <c r="G27" s="19"/>
      <c r="I27" s="2">
        <f>'PLA Grant expenditures'!F5</f>
        <v>496.91999999999996</v>
      </c>
      <c r="J27" s="9"/>
    </row>
    <row r="28" spans="1:15" outlineLevel="1">
      <c r="B28" s="6">
        <f>'ARPA Grant Expenditures'!B7</f>
        <v>151.56</v>
      </c>
      <c r="C28" t="s">
        <v>114</v>
      </c>
      <c r="G28" s="19"/>
      <c r="I28" s="2">
        <f>'ARPA Grant Expenditures'!E7</f>
        <v>53.66</v>
      </c>
      <c r="J28" s="9"/>
    </row>
    <row r="29" spans="1:15" outlineLevel="1">
      <c r="B29" s="6">
        <f>'ARPA Grant Expenditures'!B8</f>
        <v>1216</v>
      </c>
      <c r="C29" t="s">
        <v>115</v>
      </c>
      <c r="G29" s="19"/>
      <c r="I29" s="2">
        <f>'ARPA Grant Expenditures'!E8</f>
        <v>1130</v>
      </c>
      <c r="J29" s="9"/>
    </row>
    <row r="30" spans="1:15" outlineLevel="1">
      <c r="B30" s="6">
        <f>950-288-62</f>
        <v>600</v>
      </c>
      <c r="C30" t="s">
        <v>335</v>
      </c>
      <c r="G30" s="19"/>
      <c r="I30" s="2">
        <f>'PLA Grant expenditures'!F8+'PLA Grant expenditures'!F10</f>
        <v>600</v>
      </c>
      <c r="J30" s="7"/>
      <c r="K30" s="7"/>
      <c r="L30" s="7"/>
      <c r="M30" s="7"/>
      <c r="N30" s="7"/>
      <c r="O30" s="7"/>
    </row>
    <row r="31" spans="1:15" outlineLevel="1">
      <c r="B31" s="22">
        <v>1000</v>
      </c>
      <c r="C31" t="s">
        <v>262</v>
      </c>
      <c r="G31" s="19"/>
      <c r="I31" s="2">
        <f>'PLA Grant expenditures'!F12</f>
        <v>153.19999999999999</v>
      </c>
      <c r="J31" s="7"/>
      <c r="K31" s="7"/>
      <c r="L31" s="7"/>
      <c r="M31" s="7"/>
      <c r="N31" s="7"/>
      <c r="O31" s="7"/>
    </row>
    <row r="32" spans="1:15" outlineLevel="1">
      <c r="B32" s="22">
        <v>700</v>
      </c>
      <c r="C32" t="s">
        <v>336</v>
      </c>
      <c r="G32" s="19"/>
      <c r="I32" s="2">
        <f>'PLA Grant expenditures'!B38</f>
        <v>682.18</v>
      </c>
    </row>
    <row r="33" spans="1:20" ht="14.25" customHeight="1" outlineLevel="1">
      <c r="B33" s="22">
        <v>145</v>
      </c>
      <c r="C33" t="s">
        <v>337</v>
      </c>
      <c r="G33" s="19"/>
      <c r="I33" s="2">
        <f>3.81+6.03+10.37+3.28+2.75+6.56+8.13+2.75+3.28+10.37+7.26+3.03+3.38+3.63+8.46+7.26+7.26+4.23+3.63+4.83+3.03+10.29+3.63+9.06+14.52</f>
        <v>150.83000000000001</v>
      </c>
      <c r="J33" t="s">
        <v>88</v>
      </c>
    </row>
    <row r="34" spans="1:20" ht="17.75" customHeight="1" outlineLevel="1">
      <c r="B34" s="22"/>
      <c r="C34" t="s">
        <v>235</v>
      </c>
      <c r="I34" s="2">
        <v>-22.46</v>
      </c>
      <c r="J34" t="s">
        <v>87</v>
      </c>
    </row>
    <row r="35" spans="1:20" ht="28.25" customHeight="1" outlineLevel="1">
      <c r="B35" s="22">
        <v>40</v>
      </c>
      <c r="C35" t="s">
        <v>338</v>
      </c>
      <c r="D35" t="s">
        <v>119</v>
      </c>
      <c r="F35" s="18"/>
      <c r="I35" s="2">
        <f>1.25+1+1+17+1+1+1+1+1+1+1+1</f>
        <v>28.25</v>
      </c>
      <c r="J35" s="9" t="s">
        <v>40</v>
      </c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outlineLevel="1">
      <c r="B36" s="6">
        <v>180</v>
      </c>
      <c r="C36" t="s">
        <v>247</v>
      </c>
      <c r="I36" s="2">
        <f>'PLA Grant expenditures'!F6</f>
        <v>169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outlineLevel="1">
      <c r="B37" s="2"/>
    </row>
    <row r="38" spans="1:20">
      <c r="A38" t="s">
        <v>328</v>
      </c>
      <c r="B38" s="2">
        <f>SUM(B18:B37)</f>
        <v>26977.95</v>
      </c>
      <c r="F38" s="3"/>
      <c r="I38" s="2">
        <f>SUM(I18:I36)</f>
        <v>21885.57</v>
      </c>
    </row>
    <row r="41" spans="1:20">
      <c r="A41" t="s">
        <v>162</v>
      </c>
      <c r="C41" s="4"/>
    </row>
    <row r="42" spans="1:20">
      <c r="A42" t="s">
        <v>158</v>
      </c>
      <c r="C42" s="2"/>
    </row>
  </sheetData>
  <sheetCalcPr fullCalcOnLoad="1"/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N40"/>
  <sheetViews>
    <sheetView topLeftCell="A19" workbookViewId="0">
      <selection activeCell="F8" sqref="F8"/>
    </sheetView>
  </sheetViews>
  <sheetFormatPr baseColWidth="10" defaultColWidth="8.83203125" defaultRowHeight="14"/>
  <cols>
    <col min="5" max="5" width="12.33203125" customWidth="1"/>
    <col min="6" max="6" width="9.83203125" bestFit="1" customWidth="1"/>
    <col min="8" max="8" width="11.33203125" customWidth="1"/>
  </cols>
  <sheetData>
    <row r="2" spans="1:10">
      <c r="A2" t="s">
        <v>424</v>
      </c>
    </row>
    <row r="4" spans="1:10">
      <c r="F4" s="2"/>
    </row>
    <row r="5" spans="1:10">
      <c r="A5" t="s">
        <v>150</v>
      </c>
      <c r="E5" s="2"/>
      <c r="F5" s="2"/>
    </row>
    <row r="6" spans="1:10">
      <c r="F6" s="2"/>
    </row>
    <row r="7" spans="1:10">
      <c r="A7" t="s">
        <v>151</v>
      </c>
      <c r="E7" s="2">
        <v>18000</v>
      </c>
      <c r="F7" s="2"/>
    </row>
    <row r="8" spans="1:10">
      <c r="A8" t="s">
        <v>327</v>
      </c>
      <c r="E8" s="2">
        <f>0.16+2.27+2.22</f>
        <v>4.6500000000000004</v>
      </c>
      <c r="F8" s="2"/>
    </row>
    <row r="9" spans="1:10">
      <c r="A9" t="s">
        <v>59</v>
      </c>
      <c r="E9" s="2">
        <f>E7+E8</f>
        <v>18004.650000000001</v>
      </c>
      <c r="F9" s="2"/>
    </row>
    <row r="10" spans="1:10">
      <c r="E10" s="2"/>
      <c r="F10" s="2"/>
    </row>
    <row r="11" spans="1:10">
      <c r="A11" t="s">
        <v>166</v>
      </c>
      <c r="E11" s="2">
        <v>2807.88</v>
      </c>
      <c r="F11" s="2"/>
    </row>
    <row r="12" spans="1:10">
      <c r="A12" t="s">
        <v>323</v>
      </c>
      <c r="E12" s="2">
        <f>Budget!I10</f>
        <v>629</v>
      </c>
      <c r="F12" s="2" t="s">
        <v>326</v>
      </c>
      <c r="J12" s="12"/>
    </row>
    <row r="13" spans="1:10">
      <c r="E13" s="2">
        <f>E35</f>
        <v>295</v>
      </c>
      <c r="F13" s="2" t="s">
        <v>57</v>
      </c>
    </row>
    <row r="14" spans="1:10">
      <c r="E14" s="2">
        <f>'Cookbook fundraiser'!C141</f>
        <v>262.45999999999998</v>
      </c>
      <c r="F14" s="2" t="s">
        <v>69</v>
      </c>
      <c r="H14" t="s">
        <v>92</v>
      </c>
    </row>
    <row r="15" spans="1:10">
      <c r="E15" s="2"/>
      <c r="F15" s="2"/>
    </row>
    <row r="16" spans="1:10">
      <c r="E16" s="2"/>
      <c r="F16" s="2"/>
    </row>
    <row r="17" spans="1:14">
      <c r="A17" t="s">
        <v>257</v>
      </c>
      <c r="E17" s="2">
        <f>SUM(E12:E16)</f>
        <v>1186.46</v>
      </c>
      <c r="F17" s="2"/>
    </row>
    <row r="18" spans="1:14">
      <c r="E18" s="2"/>
      <c r="F18" s="2"/>
    </row>
    <row r="19" spans="1:14">
      <c r="A19" t="s">
        <v>259</v>
      </c>
      <c r="E19" s="2">
        <v>22.46</v>
      </c>
      <c r="F19" s="6" t="s">
        <v>86</v>
      </c>
      <c r="L19" s="7"/>
      <c r="M19" s="7"/>
      <c r="N19" s="7"/>
    </row>
    <row r="20" spans="1:14">
      <c r="E20" s="2"/>
      <c r="F20" s="2"/>
    </row>
    <row r="21" spans="1:14">
      <c r="E21" s="2"/>
      <c r="F21" s="2"/>
    </row>
    <row r="22" spans="1:14">
      <c r="E22" s="2"/>
      <c r="F22" s="2"/>
      <c r="H22" s="2"/>
    </row>
    <row r="23" spans="1:14">
      <c r="A23" t="s">
        <v>258</v>
      </c>
      <c r="E23" s="2">
        <f>SUM(E19:E22)</f>
        <v>22.46</v>
      </c>
      <c r="F23" s="2"/>
      <c r="H23" s="4"/>
      <c r="M23" s="2"/>
    </row>
    <row r="24" spans="1:14">
      <c r="E24" s="2"/>
      <c r="F24" s="2"/>
    </row>
    <row r="25" spans="1:14">
      <c r="A25" t="s">
        <v>18</v>
      </c>
      <c r="E25" s="2">
        <f>E11+E17-E23</f>
        <v>3971.88</v>
      </c>
      <c r="F25" s="2"/>
    </row>
    <row r="27" spans="1:14">
      <c r="A27" t="s">
        <v>19</v>
      </c>
      <c r="E27" s="2">
        <f>E9+E25</f>
        <v>21976.530000000002</v>
      </c>
      <c r="F27" s="1"/>
    </row>
    <row r="28" spans="1:14">
      <c r="E28" s="2"/>
      <c r="F28" s="1"/>
    </row>
    <row r="29" spans="1:14">
      <c r="E29" s="2"/>
      <c r="F29" s="1"/>
    </row>
    <row r="31" spans="1:14">
      <c r="A31" t="s">
        <v>57</v>
      </c>
      <c r="E31" s="2">
        <v>60</v>
      </c>
      <c r="F31" s="2" t="s">
        <v>58</v>
      </c>
    </row>
    <row r="32" spans="1:14">
      <c r="E32" s="2">
        <v>20</v>
      </c>
      <c r="F32" t="s">
        <v>78</v>
      </c>
    </row>
    <row r="33" spans="1:6">
      <c r="E33" s="2">
        <v>215</v>
      </c>
      <c r="F33" t="s">
        <v>78</v>
      </c>
    </row>
    <row r="34" spans="1:6">
      <c r="E34" s="2"/>
    </row>
    <row r="35" spans="1:6">
      <c r="A35" t="s">
        <v>91</v>
      </c>
      <c r="E35" s="2">
        <f>SUM(E31:E34)</f>
        <v>295</v>
      </c>
    </row>
    <row r="36" spans="1:6">
      <c r="E36" s="2"/>
    </row>
    <row r="37" spans="1:6">
      <c r="A37" t="s">
        <v>79</v>
      </c>
      <c r="E37" s="2"/>
    </row>
    <row r="38" spans="1:6">
      <c r="E38" s="2"/>
    </row>
    <row r="39" spans="1:6">
      <c r="E39" s="2"/>
    </row>
    <row r="40" spans="1:6">
      <c r="E40" s="2"/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R184"/>
  <sheetViews>
    <sheetView topLeftCell="A117" zoomScale="97" workbookViewId="0">
      <selection activeCell="H128" sqref="H128"/>
    </sheetView>
  </sheetViews>
  <sheetFormatPr baseColWidth="10" defaultColWidth="8.83203125" defaultRowHeight="14"/>
  <cols>
    <col min="1" max="1" width="17.33203125" customWidth="1"/>
    <col min="2" max="2" width="12.1640625" customWidth="1"/>
    <col min="3" max="3" width="9.5" bestFit="1" customWidth="1"/>
    <col min="9" max="9" width="9.6640625" customWidth="1"/>
    <col min="10" max="10" width="9.5" bestFit="1" customWidth="1"/>
    <col min="16" max="16" width="9.1640625" bestFit="1" customWidth="1"/>
  </cols>
  <sheetData>
    <row r="1" spans="1:18">
      <c r="A1" t="s">
        <v>152</v>
      </c>
      <c r="H1" t="s">
        <v>286</v>
      </c>
    </row>
    <row r="2" spans="1:18">
      <c r="H2" t="s">
        <v>287</v>
      </c>
      <c r="J2" s="2">
        <f>(225*20)-938.3</f>
        <v>3561.7</v>
      </c>
      <c r="K2" t="s">
        <v>124</v>
      </c>
    </row>
    <row r="3" spans="1:18">
      <c r="A3" t="s">
        <v>282</v>
      </c>
      <c r="C3" s="2">
        <f>469.15*2</f>
        <v>938.3</v>
      </c>
      <c r="E3" t="s">
        <v>290</v>
      </c>
      <c r="H3" t="s">
        <v>289</v>
      </c>
    </row>
    <row r="4" spans="1:18">
      <c r="A4" t="s">
        <v>154</v>
      </c>
      <c r="C4" s="2">
        <f>C30</f>
        <v>2972.53</v>
      </c>
    </row>
    <row r="5" spans="1:18">
      <c r="A5" t="s">
        <v>6</v>
      </c>
      <c r="C5" s="2">
        <f>C144</f>
        <v>262.45999999999998</v>
      </c>
    </row>
    <row r="6" spans="1:18">
      <c r="C6" s="2"/>
    </row>
    <row r="7" spans="1:18">
      <c r="A7" t="s">
        <v>155</v>
      </c>
      <c r="C7" s="2">
        <f>C4+C5</f>
        <v>3234.9900000000002</v>
      </c>
    </row>
    <row r="8" spans="1:18" s="25" customFormat="1"/>
    <row r="9" spans="1:18">
      <c r="A9" t="s">
        <v>153</v>
      </c>
    </row>
    <row r="10" spans="1:18">
      <c r="A10" t="s">
        <v>259</v>
      </c>
      <c r="C10" s="2">
        <f>19.76+15.05+2.8+11.2+33.6+5.6+26.5+5.6+3.33+22+23.26+15.05+8.4</f>
        <v>192.15</v>
      </c>
      <c r="E10" t="s">
        <v>236</v>
      </c>
    </row>
    <row r="11" spans="1:18">
      <c r="C11" s="2">
        <v>6.53</v>
      </c>
      <c r="E11" t="s">
        <v>139</v>
      </c>
    </row>
    <row r="12" spans="1:18">
      <c r="C12" s="2">
        <f>2.5+1.25</f>
        <v>3.75</v>
      </c>
      <c r="E12" t="s">
        <v>118</v>
      </c>
    </row>
    <row r="13" spans="1:18">
      <c r="C13" s="2"/>
    </row>
    <row r="14" spans="1:18">
      <c r="A14" t="s">
        <v>293</v>
      </c>
      <c r="C14" s="2">
        <f>SUM(C10:C12)+C3</f>
        <v>1140.73</v>
      </c>
      <c r="E14" t="s">
        <v>156</v>
      </c>
    </row>
    <row r="15" spans="1:18">
      <c r="E15" s="7"/>
      <c r="F15" s="7"/>
      <c r="G15" s="7"/>
    </row>
    <row r="16" spans="1:18">
      <c r="A16" t="s">
        <v>323</v>
      </c>
      <c r="C16" s="2">
        <f>60+60+100+40+20+20+25+25+25+20</f>
        <v>395</v>
      </c>
      <c r="E16" t="s">
        <v>288</v>
      </c>
      <c r="G16" t="s">
        <v>189</v>
      </c>
      <c r="Q16" t="s">
        <v>191</v>
      </c>
      <c r="R16" t="s">
        <v>192</v>
      </c>
    </row>
    <row r="17" spans="1:18">
      <c r="C17" s="2">
        <f>80+40+40+20+40+20</f>
        <v>240</v>
      </c>
      <c r="E17" t="s">
        <v>288</v>
      </c>
      <c r="G17" s="12" t="s">
        <v>190</v>
      </c>
      <c r="Q17" t="s">
        <v>191</v>
      </c>
      <c r="R17" t="s">
        <v>193</v>
      </c>
    </row>
    <row r="18" spans="1:18">
      <c r="C18" s="2">
        <f>125+60+35+25+25+50+25+20+45</f>
        <v>410</v>
      </c>
      <c r="E18" t="s">
        <v>288</v>
      </c>
      <c r="G18" t="s">
        <v>195</v>
      </c>
      <c r="Q18" t="s">
        <v>194</v>
      </c>
      <c r="R18" t="s">
        <v>199</v>
      </c>
    </row>
    <row r="19" spans="1:18">
      <c r="C19" s="2">
        <f>25+20+40+25+25+25</f>
        <v>160</v>
      </c>
      <c r="E19" t="s">
        <v>288</v>
      </c>
      <c r="G19" t="s">
        <v>196</v>
      </c>
      <c r="P19" s="13"/>
      <c r="Q19" t="s">
        <v>197</v>
      </c>
      <c r="R19" t="s">
        <v>198</v>
      </c>
    </row>
    <row r="20" spans="1:18">
      <c r="C20" s="6">
        <f>40+75+40+20+25</f>
        <v>200</v>
      </c>
      <c r="E20" t="s">
        <v>288</v>
      </c>
      <c r="G20" t="s">
        <v>213</v>
      </c>
      <c r="Q20" t="s">
        <v>200</v>
      </c>
      <c r="R20" t="s">
        <v>211</v>
      </c>
    </row>
    <row r="21" spans="1:18">
      <c r="C21" s="2">
        <f>25+25+50+40</f>
        <v>140</v>
      </c>
      <c r="E21" t="s">
        <v>288</v>
      </c>
      <c r="G21" t="s">
        <v>229</v>
      </c>
      <c r="Q21" t="s">
        <v>200</v>
      </c>
      <c r="R21" t="s">
        <v>239</v>
      </c>
    </row>
    <row r="22" spans="1:18">
      <c r="C22" s="2">
        <f>40+40+20+40+25+40</f>
        <v>205</v>
      </c>
      <c r="E22" t="s">
        <v>288</v>
      </c>
      <c r="G22" t="s">
        <v>240</v>
      </c>
      <c r="Q22" t="s">
        <v>200</v>
      </c>
    </row>
    <row r="23" spans="1:18">
      <c r="C23" s="6">
        <f>20+40+80+40+25+25+20</f>
        <v>250</v>
      </c>
      <c r="E23" t="s">
        <v>288</v>
      </c>
      <c r="G23" t="s">
        <v>202</v>
      </c>
      <c r="Q23" t="s">
        <v>201</v>
      </c>
      <c r="R23" t="s">
        <v>211</v>
      </c>
    </row>
    <row r="24" spans="1:18">
      <c r="C24" s="6">
        <f>25+100+100+25+25+25</f>
        <v>300</v>
      </c>
      <c r="E24" t="s">
        <v>288</v>
      </c>
      <c r="G24" t="s">
        <v>221</v>
      </c>
      <c r="Q24" t="s">
        <v>201</v>
      </c>
      <c r="R24" t="s">
        <v>212</v>
      </c>
    </row>
    <row r="25" spans="1:18" ht="28">
      <c r="C25" s="2">
        <f>1103.26+125+20+20+80+60+100+40</f>
        <v>1548.26</v>
      </c>
      <c r="E25" t="s">
        <v>288</v>
      </c>
      <c r="G25" t="s">
        <v>135</v>
      </c>
      <c r="Q25" t="s">
        <v>241</v>
      </c>
      <c r="R25" s="5" t="s">
        <v>172</v>
      </c>
    </row>
    <row r="26" spans="1:18">
      <c r="C26" s="2">
        <f>40+100+65+20+40</f>
        <v>265</v>
      </c>
      <c r="G26" t="s">
        <v>171</v>
      </c>
      <c r="Q26" t="s">
        <v>241</v>
      </c>
      <c r="R26" t="s">
        <v>142</v>
      </c>
    </row>
    <row r="27" spans="1:18">
      <c r="C27" s="2"/>
    </row>
    <row r="28" spans="1:18">
      <c r="A28" t="s">
        <v>257</v>
      </c>
      <c r="C28" s="2">
        <f>SUM(C16:C27)</f>
        <v>4113.26</v>
      </c>
    </row>
    <row r="30" spans="1:18">
      <c r="A30" s="7" t="s">
        <v>292</v>
      </c>
      <c r="B30" s="7"/>
      <c r="C30" s="6">
        <f>C28-C14</f>
        <v>2972.53</v>
      </c>
    </row>
    <row r="33" spans="1:7">
      <c r="A33" t="s">
        <v>291</v>
      </c>
      <c r="G33" t="s">
        <v>228</v>
      </c>
    </row>
    <row r="34" spans="1:7">
      <c r="G34" t="s">
        <v>130</v>
      </c>
    </row>
    <row r="35" spans="1:7">
      <c r="A35" t="s">
        <v>214</v>
      </c>
    </row>
    <row r="37" spans="1:7">
      <c r="A37" t="s">
        <v>295</v>
      </c>
      <c r="B37" s="13">
        <v>44150</v>
      </c>
    </row>
    <row r="38" spans="1:7">
      <c r="A38">
        <f>177+2+4+3+1+2</f>
        <v>189</v>
      </c>
      <c r="B38" t="s">
        <v>294</v>
      </c>
      <c r="C38">
        <f>3+16+9+10+64+5</f>
        <v>107</v>
      </c>
      <c r="D38" t="s">
        <v>314</v>
      </c>
    </row>
    <row r="39" spans="1:7">
      <c r="A39">
        <v>5</v>
      </c>
      <c r="B39" t="s">
        <v>203</v>
      </c>
    </row>
    <row r="40" spans="1:7">
      <c r="A40">
        <v>31</v>
      </c>
      <c r="B40" t="s">
        <v>131</v>
      </c>
    </row>
    <row r="42" spans="1:7">
      <c r="A42" t="s">
        <v>296</v>
      </c>
    </row>
    <row r="43" spans="1:7">
      <c r="A43" t="s">
        <v>297</v>
      </c>
      <c r="B43" t="s">
        <v>298</v>
      </c>
      <c r="C43" s="14">
        <v>120</v>
      </c>
    </row>
    <row r="44" spans="1:7">
      <c r="A44" t="s">
        <v>300</v>
      </c>
      <c r="B44" t="s">
        <v>299</v>
      </c>
      <c r="C44" s="6">
        <v>100</v>
      </c>
    </row>
    <row r="45" spans="1:7">
      <c r="A45" t="s">
        <v>301</v>
      </c>
      <c r="B45" t="s">
        <v>299</v>
      </c>
      <c r="C45" s="6">
        <v>40</v>
      </c>
    </row>
    <row r="46" spans="1:7">
      <c r="A46" t="s">
        <v>302</v>
      </c>
      <c r="B46" t="s">
        <v>298</v>
      </c>
      <c r="C46" s="6">
        <v>20</v>
      </c>
      <c r="E46" s="2"/>
    </row>
    <row r="47" spans="1:7">
      <c r="A47" t="s">
        <v>303</v>
      </c>
      <c r="B47" t="s">
        <v>298</v>
      </c>
      <c r="C47" s="6">
        <v>20</v>
      </c>
      <c r="E47" s="2"/>
    </row>
    <row r="48" spans="1:7">
      <c r="A48" t="s">
        <v>304</v>
      </c>
      <c r="B48" t="s">
        <v>299</v>
      </c>
      <c r="C48" s="6">
        <v>25</v>
      </c>
      <c r="D48" t="s">
        <v>314</v>
      </c>
      <c r="E48" s="2"/>
    </row>
    <row r="49" spans="1:5">
      <c r="A49" t="s">
        <v>305</v>
      </c>
      <c r="B49" t="s">
        <v>299</v>
      </c>
      <c r="C49" s="6">
        <v>25</v>
      </c>
      <c r="D49" t="s">
        <v>314</v>
      </c>
      <c r="E49" s="2"/>
    </row>
    <row r="50" spans="1:5">
      <c r="A50" t="s">
        <v>306</v>
      </c>
      <c r="B50" t="s">
        <v>299</v>
      </c>
      <c r="C50" s="6">
        <v>25</v>
      </c>
      <c r="D50" t="s">
        <v>314</v>
      </c>
      <c r="E50" s="2"/>
    </row>
    <row r="51" spans="1:5">
      <c r="A51" t="s">
        <v>308</v>
      </c>
      <c r="B51" t="s">
        <v>298</v>
      </c>
      <c r="C51" s="6">
        <v>20</v>
      </c>
      <c r="E51" s="2"/>
    </row>
    <row r="52" spans="1:5">
      <c r="A52" t="s">
        <v>307</v>
      </c>
      <c r="B52" t="s">
        <v>298</v>
      </c>
      <c r="C52" s="6">
        <v>20</v>
      </c>
      <c r="E52" s="2"/>
    </row>
    <row r="53" spans="1:5">
      <c r="A53" t="s">
        <v>309</v>
      </c>
      <c r="B53" t="s">
        <v>299</v>
      </c>
      <c r="C53" s="6">
        <v>80</v>
      </c>
      <c r="E53" s="2"/>
    </row>
    <row r="54" spans="1:5">
      <c r="A54" t="s">
        <v>311</v>
      </c>
      <c r="B54" t="s">
        <v>298</v>
      </c>
      <c r="C54" s="6">
        <v>40</v>
      </c>
      <c r="E54" s="2"/>
    </row>
    <row r="55" spans="1:5">
      <c r="A55" t="s">
        <v>310</v>
      </c>
      <c r="B55" t="s">
        <v>298</v>
      </c>
      <c r="C55" s="6">
        <v>40</v>
      </c>
      <c r="E55" s="2"/>
    </row>
    <row r="56" spans="1:5">
      <c r="A56" t="s">
        <v>312</v>
      </c>
      <c r="B56" t="s">
        <v>298</v>
      </c>
      <c r="C56" s="6">
        <v>20</v>
      </c>
      <c r="E56" s="2"/>
    </row>
    <row r="57" spans="1:5">
      <c r="A57" t="s">
        <v>313</v>
      </c>
      <c r="B57" t="s">
        <v>299</v>
      </c>
      <c r="C57" s="6">
        <v>40</v>
      </c>
      <c r="E57" s="2"/>
    </row>
    <row r="58" spans="1:5">
      <c r="A58" t="s">
        <v>315</v>
      </c>
      <c r="B58" t="s">
        <v>299</v>
      </c>
      <c r="C58" s="6">
        <v>125</v>
      </c>
      <c r="D58" t="s">
        <v>314</v>
      </c>
      <c r="E58" s="2"/>
    </row>
    <row r="59" spans="1:5">
      <c r="A59" t="s">
        <v>316</v>
      </c>
      <c r="B59" t="s">
        <v>299</v>
      </c>
      <c r="C59" s="6">
        <v>60</v>
      </c>
      <c r="E59" s="2"/>
    </row>
    <row r="60" spans="1:5">
      <c r="A60" t="s">
        <v>317</v>
      </c>
      <c r="B60" t="s">
        <v>299</v>
      </c>
      <c r="C60" s="6">
        <v>35</v>
      </c>
      <c r="D60" t="s">
        <v>314</v>
      </c>
      <c r="E60" s="2"/>
    </row>
    <row r="61" spans="1:5">
      <c r="A61" t="s">
        <v>318</v>
      </c>
      <c r="B61" t="s">
        <v>299</v>
      </c>
      <c r="C61" s="6">
        <v>25</v>
      </c>
      <c r="D61" t="s">
        <v>314</v>
      </c>
      <c r="E61" s="2"/>
    </row>
    <row r="62" spans="1:5">
      <c r="A62" t="s">
        <v>319</v>
      </c>
      <c r="B62" t="s">
        <v>299</v>
      </c>
      <c r="C62" s="6">
        <v>25</v>
      </c>
      <c r="D62" t="s">
        <v>314</v>
      </c>
      <c r="E62" s="2"/>
    </row>
    <row r="63" spans="1:5">
      <c r="A63" t="s">
        <v>320</v>
      </c>
      <c r="B63" t="s">
        <v>299</v>
      </c>
      <c r="C63" s="6">
        <v>50</v>
      </c>
      <c r="D63" t="s">
        <v>321</v>
      </c>
      <c r="E63" s="2"/>
    </row>
    <row r="64" spans="1:5">
      <c r="A64" t="s">
        <v>173</v>
      </c>
      <c r="B64" t="s">
        <v>299</v>
      </c>
      <c r="C64" s="6">
        <v>25</v>
      </c>
      <c r="D64" t="s">
        <v>314</v>
      </c>
      <c r="E64" s="2"/>
    </row>
    <row r="65" spans="1:8">
      <c r="A65" t="s">
        <v>174</v>
      </c>
      <c r="B65" t="s">
        <v>299</v>
      </c>
      <c r="C65" s="6">
        <v>20</v>
      </c>
      <c r="E65" s="2"/>
    </row>
    <row r="66" spans="1:8">
      <c r="A66" t="s">
        <v>175</v>
      </c>
      <c r="B66" t="s">
        <v>299</v>
      </c>
      <c r="C66" s="6">
        <v>45</v>
      </c>
      <c r="D66" t="s">
        <v>314</v>
      </c>
      <c r="E66" s="2"/>
    </row>
    <row r="67" spans="1:8">
      <c r="A67" t="s">
        <v>176</v>
      </c>
      <c r="B67" t="s">
        <v>299</v>
      </c>
      <c r="C67" s="6">
        <v>25</v>
      </c>
      <c r="D67" t="s">
        <v>314</v>
      </c>
      <c r="E67" s="2"/>
    </row>
    <row r="68" spans="1:8">
      <c r="A68" t="s">
        <v>177</v>
      </c>
      <c r="B68" t="s">
        <v>298</v>
      </c>
      <c r="C68" s="6">
        <v>20</v>
      </c>
      <c r="E68" s="2"/>
    </row>
    <row r="69" spans="1:8">
      <c r="A69" t="s">
        <v>178</v>
      </c>
      <c r="B69" t="s">
        <v>299</v>
      </c>
      <c r="C69" s="6">
        <v>40</v>
      </c>
      <c r="D69" t="s">
        <v>314</v>
      </c>
      <c r="E69" s="2"/>
    </row>
    <row r="70" spans="1:8">
      <c r="A70" t="s">
        <v>179</v>
      </c>
      <c r="B70" t="s">
        <v>299</v>
      </c>
      <c r="C70" s="6">
        <v>25</v>
      </c>
      <c r="D70" t="s">
        <v>314</v>
      </c>
      <c r="E70" s="2"/>
    </row>
    <row r="71" spans="1:8">
      <c r="A71" t="s">
        <v>304</v>
      </c>
      <c r="B71" t="s">
        <v>299</v>
      </c>
      <c r="C71" s="6">
        <v>25</v>
      </c>
      <c r="D71" t="s">
        <v>314</v>
      </c>
      <c r="E71" s="2" t="s">
        <v>188</v>
      </c>
    </row>
    <row r="72" spans="1:8">
      <c r="A72" t="s">
        <v>180</v>
      </c>
      <c r="B72" t="s">
        <v>299</v>
      </c>
      <c r="C72" s="6">
        <v>25</v>
      </c>
      <c r="D72" t="s">
        <v>314</v>
      </c>
      <c r="E72" s="2"/>
    </row>
    <row r="73" spans="1:8">
      <c r="A73" t="s">
        <v>207</v>
      </c>
      <c r="B73" t="s">
        <v>298</v>
      </c>
      <c r="C73" s="6">
        <v>40</v>
      </c>
      <c r="E73" s="2"/>
    </row>
    <row r="74" spans="1:8">
      <c r="A74" t="s">
        <v>181</v>
      </c>
      <c r="B74" t="s">
        <v>298</v>
      </c>
      <c r="C74" s="6">
        <v>20</v>
      </c>
      <c r="E74" s="2"/>
    </row>
    <row r="75" spans="1:8">
      <c r="A75" t="s">
        <v>182</v>
      </c>
      <c r="B75" t="s">
        <v>298</v>
      </c>
      <c r="C75" s="6">
        <v>40</v>
      </c>
      <c r="E75" s="2"/>
    </row>
    <row r="76" spans="1:8">
      <c r="A76" t="s">
        <v>183</v>
      </c>
      <c r="B76" t="s">
        <v>298</v>
      </c>
      <c r="C76" s="6">
        <v>80</v>
      </c>
      <c r="E76" s="2"/>
      <c r="G76" s="7"/>
      <c r="H76" s="7"/>
    </row>
    <row r="77" spans="1:8">
      <c r="A77" t="s">
        <v>205</v>
      </c>
      <c r="B77" t="s">
        <v>299</v>
      </c>
      <c r="C77" s="6">
        <v>40</v>
      </c>
    </row>
    <row r="78" spans="1:8">
      <c r="A78" t="s">
        <v>185</v>
      </c>
      <c r="B78" t="s">
        <v>299</v>
      </c>
      <c r="C78" s="6">
        <v>25</v>
      </c>
      <c r="D78" t="s">
        <v>314</v>
      </c>
    </row>
    <row r="79" spans="1:8">
      <c r="A79" t="s">
        <v>184</v>
      </c>
      <c r="B79" t="s">
        <v>299</v>
      </c>
      <c r="C79" s="6">
        <v>25</v>
      </c>
      <c r="D79" t="s">
        <v>314</v>
      </c>
    </row>
    <row r="80" spans="1:8">
      <c r="A80" t="s">
        <v>186</v>
      </c>
      <c r="B80" t="s">
        <v>298</v>
      </c>
      <c r="C80" s="6">
        <v>20</v>
      </c>
    </row>
    <row r="81" spans="1:5">
      <c r="A81" t="s">
        <v>204</v>
      </c>
      <c r="B81" t="s">
        <v>299</v>
      </c>
      <c r="C81" s="6">
        <v>25</v>
      </c>
      <c r="D81" t="s">
        <v>314</v>
      </c>
    </row>
    <row r="82" spans="1:5">
      <c r="A82" t="s">
        <v>206</v>
      </c>
      <c r="B82" t="s">
        <v>299</v>
      </c>
      <c r="C82" s="6">
        <v>100</v>
      </c>
    </row>
    <row r="83" spans="1:5">
      <c r="A83" t="s">
        <v>208</v>
      </c>
      <c r="B83" t="s">
        <v>299</v>
      </c>
      <c r="C83" s="2">
        <v>25</v>
      </c>
      <c r="D83" t="s">
        <v>314</v>
      </c>
      <c r="E83" t="s">
        <v>210</v>
      </c>
    </row>
    <row r="84" spans="1:5">
      <c r="A84" t="s">
        <v>209</v>
      </c>
      <c r="B84" t="s">
        <v>299</v>
      </c>
      <c r="C84" s="2">
        <v>100</v>
      </c>
      <c r="D84" t="s">
        <v>314</v>
      </c>
      <c r="E84" t="s">
        <v>210</v>
      </c>
    </row>
    <row r="85" spans="1:5">
      <c r="A85" t="s">
        <v>215</v>
      </c>
      <c r="B85" t="s">
        <v>299</v>
      </c>
      <c r="C85" s="2">
        <v>25</v>
      </c>
      <c r="D85" t="s">
        <v>314</v>
      </c>
    </row>
    <row r="86" spans="1:5">
      <c r="A86" t="s">
        <v>216</v>
      </c>
      <c r="B86" t="s">
        <v>299</v>
      </c>
      <c r="C86" s="2">
        <v>25</v>
      </c>
      <c r="D86" t="s">
        <v>314</v>
      </c>
    </row>
    <row r="87" spans="1:5">
      <c r="A87" t="s">
        <v>217</v>
      </c>
      <c r="B87" t="s">
        <v>299</v>
      </c>
      <c r="C87" s="2">
        <v>75</v>
      </c>
      <c r="D87" t="s">
        <v>314</v>
      </c>
    </row>
    <row r="88" spans="1:5">
      <c r="A88" t="s">
        <v>218</v>
      </c>
      <c r="B88" t="s">
        <v>299</v>
      </c>
      <c r="C88" s="2">
        <v>40</v>
      </c>
    </row>
    <row r="89" spans="1:5">
      <c r="A89" t="s">
        <v>219</v>
      </c>
      <c r="B89" t="s">
        <v>299</v>
      </c>
      <c r="C89" s="2">
        <v>20</v>
      </c>
    </row>
    <row r="90" spans="1:5">
      <c r="A90" t="s">
        <v>220</v>
      </c>
      <c r="B90" t="s">
        <v>299</v>
      </c>
      <c r="C90" s="2">
        <v>25</v>
      </c>
      <c r="D90" t="s">
        <v>314</v>
      </c>
    </row>
    <row r="91" spans="1:5">
      <c r="A91" t="s">
        <v>224</v>
      </c>
      <c r="B91" t="s">
        <v>299</v>
      </c>
      <c r="C91" s="2">
        <v>25</v>
      </c>
      <c r="D91" t="s">
        <v>314</v>
      </c>
    </row>
    <row r="92" spans="1:5">
      <c r="A92" t="s">
        <v>225</v>
      </c>
      <c r="B92" t="s">
        <v>299</v>
      </c>
      <c r="C92" s="2">
        <v>25</v>
      </c>
      <c r="D92" t="s">
        <v>314</v>
      </c>
    </row>
    <row r="93" spans="1:5">
      <c r="A93" t="s">
        <v>226</v>
      </c>
      <c r="B93" t="s">
        <v>299</v>
      </c>
      <c r="C93" s="2">
        <v>50</v>
      </c>
      <c r="D93" t="s">
        <v>314</v>
      </c>
      <c r="E93" t="s">
        <v>227</v>
      </c>
    </row>
    <row r="94" spans="1:5">
      <c r="A94" t="s">
        <v>230</v>
      </c>
      <c r="B94" t="s">
        <v>299</v>
      </c>
      <c r="C94" s="2">
        <v>40</v>
      </c>
      <c r="E94" t="s">
        <v>231</v>
      </c>
    </row>
    <row r="95" spans="1:5">
      <c r="A95" t="s">
        <v>233</v>
      </c>
      <c r="B95" t="s">
        <v>298</v>
      </c>
      <c r="C95" s="2">
        <v>40</v>
      </c>
    </row>
    <row r="96" spans="1:5">
      <c r="A96" t="s">
        <v>234</v>
      </c>
      <c r="B96" t="s">
        <v>298</v>
      </c>
      <c r="C96" s="2">
        <v>20</v>
      </c>
    </row>
    <row r="97" spans="1:6">
      <c r="A97" t="s">
        <v>121</v>
      </c>
      <c r="B97" t="s">
        <v>299</v>
      </c>
      <c r="C97" s="2">
        <v>40</v>
      </c>
      <c r="E97" t="s">
        <v>231</v>
      </c>
    </row>
    <row r="98" spans="1:6">
      <c r="A98" t="s">
        <v>238</v>
      </c>
      <c r="B98" t="s">
        <v>298</v>
      </c>
      <c r="C98" s="2">
        <v>40</v>
      </c>
    </row>
    <row r="99" spans="1:6">
      <c r="A99" t="s">
        <v>242</v>
      </c>
      <c r="B99" t="s">
        <v>299</v>
      </c>
      <c r="C99" s="2">
        <v>25</v>
      </c>
      <c r="D99" t="s">
        <v>314</v>
      </c>
    </row>
    <row r="100" spans="1:6">
      <c r="A100" t="s">
        <v>243</v>
      </c>
      <c r="B100" t="s">
        <v>298</v>
      </c>
      <c r="C100" s="2">
        <v>20</v>
      </c>
    </row>
    <row r="101" spans="1:6">
      <c r="A101" t="s">
        <v>244</v>
      </c>
      <c r="B101" t="s">
        <v>298</v>
      </c>
      <c r="C101" s="2">
        <v>20</v>
      </c>
    </row>
    <row r="102" spans="1:6">
      <c r="A102" t="s">
        <v>120</v>
      </c>
      <c r="B102" t="s">
        <v>299</v>
      </c>
      <c r="C102" s="2">
        <v>1103.26</v>
      </c>
      <c r="D102" t="s">
        <v>314</v>
      </c>
      <c r="E102" t="s">
        <v>123</v>
      </c>
      <c r="F102" s="2"/>
    </row>
    <row r="103" spans="1:6">
      <c r="A103" t="s">
        <v>122</v>
      </c>
      <c r="B103" t="s">
        <v>299</v>
      </c>
      <c r="C103" s="2">
        <v>125</v>
      </c>
      <c r="D103" t="s">
        <v>314</v>
      </c>
    </row>
    <row r="104" spans="1:6">
      <c r="A104" t="s">
        <v>129</v>
      </c>
      <c r="B104" t="s">
        <v>299</v>
      </c>
      <c r="C104" s="2">
        <v>20</v>
      </c>
    </row>
    <row r="105" spans="1:6">
      <c r="A105" t="s">
        <v>301</v>
      </c>
      <c r="B105" t="s">
        <v>298</v>
      </c>
      <c r="C105" s="2">
        <v>20</v>
      </c>
    </row>
    <row r="106" spans="1:6">
      <c r="A106" t="s">
        <v>133</v>
      </c>
      <c r="B106" t="s">
        <v>299</v>
      </c>
      <c r="C106" s="2">
        <v>80</v>
      </c>
    </row>
    <row r="107" spans="1:6">
      <c r="A107" t="s">
        <v>134</v>
      </c>
      <c r="B107" t="s">
        <v>299</v>
      </c>
      <c r="C107" s="2">
        <v>60</v>
      </c>
    </row>
    <row r="108" spans="1:6">
      <c r="A108" t="s">
        <v>132</v>
      </c>
      <c r="B108" t="s">
        <v>298</v>
      </c>
      <c r="C108" s="2">
        <v>100</v>
      </c>
    </row>
    <row r="109" spans="1:6">
      <c r="A109" t="s">
        <v>136</v>
      </c>
      <c r="B109" t="s">
        <v>298</v>
      </c>
      <c r="C109" s="2">
        <v>40</v>
      </c>
    </row>
    <row r="110" spans="1:6">
      <c r="A110" t="s">
        <v>137</v>
      </c>
      <c r="B110" t="s">
        <v>298</v>
      </c>
      <c r="C110" s="2">
        <v>40</v>
      </c>
    </row>
    <row r="111" spans="1:6">
      <c r="A111" t="s">
        <v>138</v>
      </c>
      <c r="B111" t="s">
        <v>299</v>
      </c>
      <c r="C111" s="2">
        <v>100</v>
      </c>
      <c r="D111" t="s">
        <v>314</v>
      </c>
    </row>
    <row r="112" spans="1:6">
      <c r="A112" t="s">
        <v>140</v>
      </c>
      <c r="B112" t="s">
        <v>299</v>
      </c>
      <c r="C112" s="2">
        <v>40</v>
      </c>
    </row>
    <row r="113" spans="1:18">
      <c r="A113" t="s">
        <v>141</v>
      </c>
      <c r="B113" t="s">
        <v>299</v>
      </c>
      <c r="C113" s="2">
        <v>25</v>
      </c>
      <c r="D113" t="s">
        <v>314</v>
      </c>
    </row>
    <row r="114" spans="1:18">
      <c r="A114" t="s">
        <v>143</v>
      </c>
      <c r="B114" t="s">
        <v>299</v>
      </c>
      <c r="C114" s="2">
        <v>20</v>
      </c>
    </row>
    <row r="115" spans="1:18">
      <c r="A115" t="s">
        <v>169</v>
      </c>
      <c r="B115" t="s">
        <v>298</v>
      </c>
      <c r="C115" s="2">
        <v>20</v>
      </c>
    </row>
    <row r="116" spans="1:18">
      <c r="A116" t="s">
        <v>170</v>
      </c>
      <c r="B116" t="s">
        <v>299</v>
      </c>
      <c r="C116" s="2">
        <v>20</v>
      </c>
    </row>
    <row r="117" spans="1:18">
      <c r="A117" t="s">
        <v>187</v>
      </c>
      <c r="C117" s="2">
        <f>SUM(C43:C116)</f>
        <v>4113.26</v>
      </c>
    </row>
    <row r="118" spans="1:18">
      <c r="C118" s="2"/>
    </row>
    <row r="119" spans="1:18">
      <c r="A119" s="29"/>
      <c r="B119" s="29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0" spans="1:18">
      <c r="C120" s="2"/>
    </row>
    <row r="121" spans="1:18">
      <c r="A121" t="s">
        <v>148</v>
      </c>
      <c r="C121" s="2"/>
    </row>
    <row r="122" spans="1:18">
      <c r="A122" t="s">
        <v>167</v>
      </c>
      <c r="C122" s="2"/>
      <c r="H122" t="s">
        <v>295</v>
      </c>
      <c r="I122" s="13">
        <v>44568</v>
      </c>
    </row>
    <row r="123" spans="1:18">
      <c r="C123" s="2"/>
      <c r="H123">
        <v>201</v>
      </c>
      <c r="I123" t="s">
        <v>294</v>
      </c>
      <c r="J123">
        <f>3+16+9+10+64+5</f>
        <v>107</v>
      </c>
      <c r="K123" t="s">
        <v>314</v>
      </c>
    </row>
    <row r="124" spans="1:18">
      <c r="C124" s="2"/>
      <c r="H124">
        <v>3</v>
      </c>
      <c r="I124" t="s">
        <v>3</v>
      </c>
    </row>
    <row r="125" spans="1:18">
      <c r="C125" s="2"/>
      <c r="H125">
        <v>19</v>
      </c>
      <c r="I125" t="s">
        <v>131</v>
      </c>
    </row>
    <row r="126" spans="1:18">
      <c r="C126" s="2"/>
      <c r="H126">
        <v>2</v>
      </c>
      <c r="I126" t="s">
        <v>68</v>
      </c>
    </row>
    <row r="127" spans="1:18">
      <c r="A127" t="s">
        <v>65</v>
      </c>
      <c r="C127" s="2">
        <f>SUM(C123:C126)</f>
        <v>0</v>
      </c>
      <c r="H127">
        <v>0</v>
      </c>
      <c r="I127" t="s">
        <v>1</v>
      </c>
    </row>
    <row r="128" spans="1:18">
      <c r="C128" s="2"/>
      <c r="H128">
        <f>SUM(H123:H127)</f>
        <v>225</v>
      </c>
      <c r="I128" t="s">
        <v>2</v>
      </c>
    </row>
    <row r="129" spans="1:11">
      <c r="A129" t="s">
        <v>168</v>
      </c>
      <c r="C129" s="2"/>
    </row>
    <row r="130" spans="1:11">
      <c r="A130" t="s">
        <v>62</v>
      </c>
      <c r="C130" s="2">
        <v>20</v>
      </c>
      <c r="D130" t="s">
        <v>298</v>
      </c>
    </row>
    <row r="131" spans="1:11">
      <c r="A131" t="s">
        <v>63</v>
      </c>
      <c r="C131" s="2">
        <v>20</v>
      </c>
      <c r="D131" t="s">
        <v>298</v>
      </c>
    </row>
    <row r="132" spans="1:11">
      <c r="A132" t="s">
        <v>67</v>
      </c>
      <c r="C132" s="2">
        <v>60</v>
      </c>
      <c r="D132" t="s">
        <v>298</v>
      </c>
      <c r="E132" s="34">
        <v>44398</v>
      </c>
    </row>
    <row r="133" spans="1:11">
      <c r="A133" t="s">
        <v>71</v>
      </c>
      <c r="C133" s="2">
        <v>80</v>
      </c>
      <c r="D133" t="s">
        <v>298</v>
      </c>
      <c r="E133" s="34">
        <v>44421</v>
      </c>
    </row>
    <row r="134" spans="1:11">
      <c r="A134" t="s">
        <v>76</v>
      </c>
      <c r="C134" s="2">
        <v>20</v>
      </c>
      <c r="D134" t="s">
        <v>298</v>
      </c>
      <c r="E134" s="34">
        <v>44431</v>
      </c>
      <c r="F134" t="s">
        <v>77</v>
      </c>
      <c r="K134" t="s">
        <v>90</v>
      </c>
    </row>
    <row r="135" spans="1:11">
      <c r="A135" t="s">
        <v>4</v>
      </c>
      <c r="C135" s="2">
        <v>40</v>
      </c>
      <c r="D135" t="s">
        <v>298</v>
      </c>
      <c r="E135" s="34">
        <v>44916</v>
      </c>
      <c r="F135" t="s">
        <v>5</v>
      </c>
    </row>
    <row r="136" spans="1:11">
      <c r="A136" t="s">
        <v>84</v>
      </c>
      <c r="C136" s="2">
        <v>22.46</v>
      </c>
      <c r="E136" t="s">
        <v>85</v>
      </c>
    </row>
    <row r="137" spans="1:11">
      <c r="C137" s="2"/>
    </row>
    <row r="138" spans="1:11">
      <c r="C138" s="2"/>
    </row>
    <row r="139" spans="1:11">
      <c r="C139" s="2"/>
    </row>
    <row r="140" spans="1:11">
      <c r="C140" s="2"/>
    </row>
    <row r="141" spans="1:11">
      <c r="A141" t="s">
        <v>64</v>
      </c>
      <c r="C141" s="2">
        <f>SUM(C130:C140)</f>
        <v>262.45999999999998</v>
      </c>
    </row>
    <row r="142" spans="1:11">
      <c r="A142" t="s">
        <v>65</v>
      </c>
      <c r="C142" s="2">
        <v>0</v>
      </c>
    </row>
    <row r="143" spans="1:11">
      <c r="C143" s="2"/>
    </row>
    <row r="144" spans="1:11">
      <c r="A144" t="s">
        <v>7</v>
      </c>
      <c r="C144" s="2">
        <f>C141-C142</f>
        <v>262.45999999999998</v>
      </c>
    </row>
    <row r="145" spans="1:3">
      <c r="C145" s="2"/>
    </row>
    <row r="146" spans="1:3">
      <c r="A146" s="31" t="s">
        <v>66</v>
      </c>
      <c r="B146" s="31"/>
      <c r="C146" s="32">
        <f>C30+C144</f>
        <v>3234.9900000000002</v>
      </c>
    </row>
    <row r="147" spans="1:3">
      <c r="C147" s="2"/>
    </row>
    <row r="148" spans="1:3">
      <c r="C148" s="2"/>
    </row>
    <row r="149" spans="1:3">
      <c r="C149" s="2"/>
    </row>
    <row r="150" spans="1:3">
      <c r="C150" s="2"/>
    </row>
    <row r="151" spans="1:3">
      <c r="C151" s="2"/>
    </row>
    <row r="152" spans="1:3">
      <c r="C152" s="2"/>
    </row>
    <row r="153" spans="1:3">
      <c r="C153" s="2"/>
    </row>
    <row r="154" spans="1:3">
      <c r="C154" s="2"/>
    </row>
    <row r="155" spans="1:3">
      <c r="C155" s="2"/>
    </row>
    <row r="156" spans="1:3">
      <c r="C156" s="2"/>
    </row>
    <row r="157" spans="1:3">
      <c r="C157" s="2"/>
    </row>
    <row r="158" spans="1:3">
      <c r="C158" s="2"/>
    </row>
    <row r="159" spans="1:3">
      <c r="C159" s="2"/>
    </row>
    <row r="160" spans="1:3">
      <c r="C160" s="2"/>
    </row>
    <row r="161" spans="3:3">
      <c r="C161" s="2"/>
    </row>
    <row r="162" spans="3:3">
      <c r="C162" s="2"/>
    </row>
    <row r="163" spans="3:3">
      <c r="C163" s="2"/>
    </row>
    <row r="164" spans="3:3">
      <c r="C164" s="2"/>
    </row>
    <row r="165" spans="3:3">
      <c r="C165" s="2"/>
    </row>
    <row r="166" spans="3:3">
      <c r="C166" s="2"/>
    </row>
    <row r="167" spans="3:3">
      <c r="C167" s="2"/>
    </row>
    <row r="168" spans="3:3">
      <c r="C168" s="2"/>
    </row>
    <row r="169" spans="3:3">
      <c r="C169" s="2"/>
    </row>
    <row r="170" spans="3:3">
      <c r="C170" s="2"/>
    </row>
    <row r="171" spans="3:3">
      <c r="C171" s="2"/>
    </row>
    <row r="172" spans="3:3">
      <c r="C172" s="2"/>
    </row>
    <row r="173" spans="3:3">
      <c r="C173" s="2"/>
    </row>
    <row r="174" spans="3:3">
      <c r="C174" s="2"/>
    </row>
    <row r="175" spans="3:3">
      <c r="C175" s="2"/>
    </row>
    <row r="176" spans="3:3">
      <c r="C176" s="2"/>
    </row>
    <row r="177" spans="3:3">
      <c r="C177" s="2"/>
    </row>
    <row r="178" spans="3:3">
      <c r="C178" s="2"/>
    </row>
    <row r="179" spans="3:3">
      <c r="C179" s="2"/>
    </row>
    <row r="180" spans="3:3">
      <c r="C180" s="2"/>
    </row>
    <row r="181" spans="3:3">
      <c r="C181" s="2"/>
    </row>
    <row r="182" spans="3:3">
      <c r="C182" s="2"/>
    </row>
    <row r="183" spans="3:3">
      <c r="C183" s="2"/>
    </row>
    <row r="184" spans="3:3">
      <c r="C184" s="2"/>
    </row>
  </sheetData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31"/>
  <sheetViews>
    <sheetView workbookViewId="0">
      <selection activeCell="A8" sqref="A8"/>
    </sheetView>
  </sheetViews>
  <sheetFormatPr baseColWidth="10" defaultColWidth="8.83203125" defaultRowHeight="14"/>
  <cols>
    <col min="1" max="1" width="15.83203125" customWidth="1"/>
    <col min="2" max="2" width="14.1640625" customWidth="1"/>
    <col min="4" max="4" width="10.83203125" customWidth="1"/>
  </cols>
  <sheetData>
    <row r="1" spans="1:9">
      <c r="A1" t="s">
        <v>160</v>
      </c>
    </row>
    <row r="3" spans="1:9">
      <c r="A3" t="s">
        <v>420</v>
      </c>
    </row>
    <row r="4" spans="1:9">
      <c r="B4" s="5"/>
    </row>
    <row r="5" spans="1:9">
      <c r="B5" s="16"/>
      <c r="C5" s="15"/>
      <c r="D5" s="15"/>
      <c r="E5" s="15"/>
      <c r="F5" s="15"/>
      <c r="G5" s="15"/>
      <c r="H5" s="15"/>
      <c r="I5" s="15"/>
    </row>
    <row r="7" spans="1:9">
      <c r="B7" s="2"/>
    </row>
    <row r="8" spans="1:9">
      <c r="A8" t="s">
        <v>357</v>
      </c>
      <c r="B8" s="2"/>
    </row>
    <row r="9" spans="1:9">
      <c r="B9" s="2"/>
    </row>
    <row r="10" spans="1:9">
      <c r="B10" s="2"/>
    </row>
    <row r="11" spans="1:9">
      <c r="B11" s="2"/>
    </row>
    <row r="12" spans="1:9">
      <c r="B12" s="2"/>
    </row>
    <row r="13" spans="1:9">
      <c r="B13" s="2"/>
    </row>
    <row r="14" spans="1:9">
      <c r="B14" s="4"/>
    </row>
    <row r="15" spans="1:9">
      <c r="B15" s="4"/>
    </row>
    <row r="16" spans="1:9">
      <c r="B16" s="1"/>
    </row>
    <row r="17" spans="1:12">
      <c r="B17" s="2"/>
      <c r="I17" s="15"/>
      <c r="J17" s="15"/>
      <c r="K17" s="15"/>
      <c r="L17" s="15"/>
    </row>
    <row r="19" spans="1:12">
      <c r="B19" s="17"/>
      <c r="D19" s="15"/>
      <c r="E19" s="15"/>
      <c r="F19" s="15"/>
    </row>
    <row r="20" spans="1:12">
      <c r="B20" s="2"/>
    </row>
    <row r="21" spans="1:12">
      <c r="B21" s="2"/>
    </row>
    <row r="22" spans="1:12">
      <c r="B22" s="2"/>
    </row>
    <row r="23" spans="1:12">
      <c r="B23" s="2"/>
    </row>
    <row r="24" spans="1:12">
      <c r="B24" s="2"/>
    </row>
    <row r="26" spans="1:12">
      <c r="A26" s="5"/>
      <c r="B26" s="2"/>
    </row>
    <row r="27" spans="1:12">
      <c r="B27" s="1"/>
      <c r="D27" s="15"/>
      <c r="E27" s="15"/>
      <c r="F27" s="15"/>
      <c r="G27" s="15"/>
    </row>
    <row r="28" spans="1:12">
      <c r="B28" s="2"/>
    </row>
    <row r="31" spans="1:12">
      <c r="D31" s="4"/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R38"/>
  <sheetViews>
    <sheetView topLeftCell="A17" workbookViewId="0">
      <selection activeCell="B35" sqref="B35"/>
    </sheetView>
  </sheetViews>
  <sheetFormatPr baseColWidth="10" defaultColWidth="8.83203125" defaultRowHeight="14"/>
  <cols>
    <col min="2" max="2" width="18.6640625" customWidth="1"/>
    <col min="3" max="3" width="10.6640625" customWidth="1"/>
    <col min="4" max="4" width="12.33203125" customWidth="1"/>
    <col min="5" max="5" width="33" customWidth="1"/>
    <col min="6" max="7" width="12.33203125" customWidth="1"/>
    <col min="8" max="8" width="38.6640625" customWidth="1"/>
    <col min="9" max="9" width="11" customWidth="1"/>
    <col min="13" max="13" width="11.5" customWidth="1"/>
    <col min="14" max="14" width="11" customWidth="1"/>
    <col min="15" max="15" width="10.5" customWidth="1"/>
    <col min="16" max="16" width="10.33203125" customWidth="1"/>
  </cols>
  <sheetData>
    <row r="1" spans="1:18">
      <c r="A1" t="s">
        <v>145</v>
      </c>
    </row>
    <row r="2" spans="1:18" ht="32.75" customHeight="1">
      <c r="A2" t="s">
        <v>366</v>
      </c>
      <c r="C2" s="2">
        <v>7000</v>
      </c>
      <c r="D2" s="11"/>
      <c r="E2" s="7"/>
      <c r="F2" t="s">
        <v>339</v>
      </c>
      <c r="M2" s="7"/>
      <c r="N2" s="7"/>
      <c r="O2" s="7"/>
      <c r="P2" s="7"/>
      <c r="Q2" s="7"/>
      <c r="R2" s="7"/>
    </row>
    <row r="3" spans="1:18">
      <c r="A3" t="s">
        <v>330</v>
      </c>
      <c r="C3" s="2"/>
      <c r="E3" s="7"/>
      <c r="M3" s="9"/>
      <c r="N3" s="9"/>
      <c r="O3" s="9"/>
      <c r="P3" s="9"/>
      <c r="Q3" s="9"/>
      <c r="R3" s="7"/>
    </row>
    <row r="4" spans="1:18">
      <c r="A4" t="s">
        <v>331</v>
      </c>
      <c r="C4" s="22">
        <f>1500+500+2000</f>
        <v>4000</v>
      </c>
      <c r="D4" s="20"/>
      <c r="E4" s="6"/>
      <c r="F4" s="6">
        <f>'PLA Collection Recap'!C17</f>
        <v>3988.71</v>
      </c>
      <c r="G4" s="2"/>
      <c r="H4" t="s">
        <v>261</v>
      </c>
      <c r="M4" s="6"/>
      <c r="N4" s="7"/>
      <c r="O4" s="7"/>
      <c r="P4" s="7"/>
      <c r="Q4" s="6"/>
      <c r="R4" s="7"/>
    </row>
    <row r="5" spans="1:18">
      <c r="A5" t="s">
        <v>367</v>
      </c>
      <c r="C5" s="6">
        <v>500</v>
      </c>
      <c r="D5" s="20"/>
      <c r="E5" s="6"/>
      <c r="F5" s="2">
        <f>16+18.34+21+42.15+121.12+5.32+4.58+42.12+19.51+19.93+13.88+46.88+126.09</f>
        <v>496.91999999999996</v>
      </c>
      <c r="G5" s="2"/>
      <c r="H5" t="s">
        <v>89</v>
      </c>
      <c r="J5" s="7"/>
      <c r="K5" s="7"/>
      <c r="L5" s="7"/>
      <c r="M5" s="6"/>
      <c r="N5" s="7"/>
      <c r="O5" s="7"/>
      <c r="P5" s="7"/>
      <c r="Q5" s="6"/>
      <c r="R5" s="7"/>
    </row>
    <row r="6" spans="1:18">
      <c r="A6" t="s">
        <v>249</v>
      </c>
      <c r="C6" s="6">
        <v>180</v>
      </c>
      <c r="D6" s="2"/>
      <c r="E6" s="6" t="s">
        <v>247</v>
      </c>
      <c r="F6" s="2">
        <v>169</v>
      </c>
      <c r="G6" s="2"/>
      <c r="M6" s="6"/>
      <c r="N6" s="7"/>
      <c r="O6" s="7"/>
      <c r="P6" s="7"/>
      <c r="Q6" s="6"/>
      <c r="R6" s="7"/>
    </row>
    <row r="7" spans="1:18" ht="42" customHeight="1">
      <c r="A7" t="s">
        <v>338</v>
      </c>
      <c r="C7" s="22">
        <v>40</v>
      </c>
      <c r="D7" s="20"/>
      <c r="E7" s="6" t="s">
        <v>159</v>
      </c>
      <c r="F7" s="6">
        <f>Budget!I35</f>
        <v>28.25</v>
      </c>
      <c r="G7" s="2"/>
      <c r="H7" s="5" t="s">
        <v>272</v>
      </c>
      <c r="M7" s="6"/>
      <c r="N7" s="7"/>
      <c r="O7" s="7"/>
      <c r="P7" s="7"/>
      <c r="Q7" s="6"/>
      <c r="R7" s="7"/>
    </row>
    <row r="8" spans="1:18">
      <c r="A8" t="s">
        <v>250</v>
      </c>
      <c r="C8" s="6">
        <v>500</v>
      </c>
      <c r="D8" s="2"/>
      <c r="E8" s="6" t="s">
        <v>256</v>
      </c>
      <c r="F8" s="2">
        <f>E38</f>
        <v>500</v>
      </c>
      <c r="G8" s="2"/>
      <c r="M8" s="6"/>
      <c r="N8" s="7"/>
      <c r="O8" s="7"/>
      <c r="P8" s="7"/>
      <c r="Q8" s="6"/>
      <c r="R8" s="7"/>
    </row>
    <row r="9" spans="1:18" ht="32.25" customHeight="1">
      <c r="A9" t="s">
        <v>251</v>
      </c>
      <c r="C9" s="22">
        <v>1380</v>
      </c>
      <c r="D9" s="10"/>
      <c r="E9" s="8" t="s">
        <v>165</v>
      </c>
      <c r="F9" s="2">
        <f>Budget!I32+Budget!I33+Budget!I34+Budget!I26</f>
        <v>1290.55</v>
      </c>
      <c r="G9" s="2"/>
      <c r="H9" s="7"/>
      <c r="I9" s="7"/>
      <c r="J9" s="7"/>
      <c r="K9" s="7"/>
      <c r="L9" s="7"/>
      <c r="M9" s="6"/>
      <c r="N9" s="7"/>
      <c r="O9" s="7"/>
      <c r="P9" s="7"/>
      <c r="Q9" s="6"/>
      <c r="R9" s="7"/>
    </row>
    <row r="10" spans="1:18">
      <c r="A10" t="s">
        <v>248</v>
      </c>
      <c r="C10" s="6">
        <f>450-288-62</f>
        <v>100</v>
      </c>
      <c r="D10" s="2"/>
      <c r="E10" s="6" t="s">
        <v>280</v>
      </c>
      <c r="F10" s="2">
        <v>100</v>
      </c>
      <c r="G10" s="2"/>
      <c r="I10" s="18"/>
      <c r="J10" s="18"/>
      <c r="K10" s="18"/>
      <c r="L10" s="18"/>
      <c r="M10" s="26"/>
      <c r="N10" s="27"/>
      <c r="O10" s="7"/>
      <c r="P10" s="7"/>
      <c r="Q10" s="6"/>
      <c r="R10" s="7"/>
    </row>
    <row r="11" spans="1:18">
      <c r="A11" s="7" t="s">
        <v>269</v>
      </c>
      <c r="B11" s="7" t="s">
        <v>237</v>
      </c>
      <c r="C11" s="22">
        <v>0</v>
      </c>
      <c r="D11" s="10"/>
      <c r="E11" s="6"/>
      <c r="F11" s="2"/>
      <c r="G11" s="2"/>
      <c r="H11" s="7"/>
      <c r="I11" s="27"/>
      <c r="J11" s="27"/>
      <c r="K11" s="27"/>
      <c r="L11" s="27"/>
      <c r="M11" s="26"/>
      <c r="N11" s="27"/>
      <c r="O11" s="7"/>
      <c r="P11" s="7"/>
      <c r="Q11" s="6"/>
      <c r="R11" s="7"/>
    </row>
    <row r="12" spans="1:18">
      <c r="A12" s="7" t="s">
        <v>285</v>
      </c>
      <c r="B12" s="7"/>
      <c r="C12" s="22">
        <v>300</v>
      </c>
      <c r="D12" s="21"/>
      <c r="F12" s="2">
        <f>SUM(12.06+141.14)</f>
        <v>153.19999999999999</v>
      </c>
      <c r="G12" s="2"/>
      <c r="H12" s="7"/>
      <c r="I12" s="27"/>
      <c r="J12" s="27"/>
      <c r="K12" s="27"/>
      <c r="L12" s="27"/>
      <c r="M12" s="26"/>
      <c r="N12" s="27"/>
      <c r="O12" s="7"/>
      <c r="P12" s="7"/>
      <c r="Q12" s="6"/>
      <c r="R12" s="7"/>
    </row>
    <row r="13" spans="1:18">
      <c r="C13" s="2"/>
      <c r="F13" s="2"/>
      <c r="G13" s="2"/>
      <c r="H13" s="7"/>
      <c r="I13" s="27"/>
      <c r="J13" s="27"/>
      <c r="K13" s="27"/>
      <c r="L13" s="27"/>
      <c r="M13" s="26"/>
      <c r="N13" s="27"/>
      <c r="O13" s="7"/>
      <c r="P13" s="7"/>
      <c r="Q13" s="6"/>
      <c r="R13" s="7"/>
    </row>
    <row r="14" spans="1:18">
      <c r="A14" t="s">
        <v>328</v>
      </c>
      <c r="C14" s="2">
        <f>SUM(C4:C12)</f>
        <v>7000</v>
      </c>
      <c r="E14" s="2"/>
      <c r="F14" s="2"/>
      <c r="G14" s="2"/>
      <c r="I14" s="27"/>
      <c r="J14" s="18"/>
      <c r="K14" s="27"/>
      <c r="L14" s="18"/>
      <c r="M14" s="26"/>
      <c r="N14" s="27"/>
      <c r="O14" s="7"/>
      <c r="P14" s="7"/>
      <c r="Q14" s="6"/>
      <c r="R14" s="7"/>
    </row>
    <row r="15" spans="1:18">
      <c r="I15" s="18"/>
      <c r="J15" s="18"/>
      <c r="K15" s="27"/>
      <c r="L15" s="18"/>
      <c r="M15" s="18"/>
      <c r="N15" s="18"/>
      <c r="Q15" s="6"/>
    </row>
    <row r="16" spans="1:18">
      <c r="A16" t="s">
        <v>276</v>
      </c>
      <c r="C16" s="4">
        <f>C14-F16</f>
        <v>273.36999999999989</v>
      </c>
      <c r="E16" t="s">
        <v>275</v>
      </c>
      <c r="F16" s="4">
        <f>SUM(F4:F12)</f>
        <v>6726.63</v>
      </c>
      <c r="G16" s="2"/>
      <c r="I16" s="28"/>
      <c r="J16" s="18"/>
      <c r="K16" s="18"/>
      <c r="L16" s="10"/>
      <c r="M16" s="18"/>
      <c r="N16" s="18"/>
    </row>
    <row r="17" spans="1:14">
      <c r="C17" s="7"/>
      <c r="D17" s="7"/>
      <c r="E17" s="7"/>
      <c r="I17" s="18"/>
      <c r="J17" s="18"/>
      <c r="K17" s="18"/>
      <c r="L17" s="18"/>
      <c r="M17" s="18"/>
      <c r="N17" s="18"/>
    </row>
    <row r="18" spans="1:14">
      <c r="A18" t="s">
        <v>61</v>
      </c>
      <c r="C18" s="6"/>
      <c r="D18" s="7"/>
      <c r="E18" s="7"/>
      <c r="F18" s="2"/>
      <c r="G18" s="2"/>
      <c r="I18" s="18"/>
      <c r="J18" s="18"/>
      <c r="K18" s="18"/>
      <c r="L18" s="18"/>
      <c r="M18" s="18"/>
      <c r="N18" s="18"/>
    </row>
    <row r="19" spans="1:14">
      <c r="A19" s="6"/>
      <c r="B19" s="6"/>
      <c r="C19" s="6"/>
      <c r="D19" s="6"/>
      <c r="E19" s="7"/>
      <c r="F19" s="7"/>
      <c r="G19" s="2"/>
    </row>
    <row r="20" spans="1:14">
      <c r="A20" t="s">
        <v>163</v>
      </c>
      <c r="C20" s="2"/>
      <c r="F20" s="2"/>
      <c r="G20" s="2"/>
    </row>
    <row r="21" spans="1:14">
      <c r="C21" s="2"/>
      <c r="F21" s="2"/>
      <c r="G21" s="2"/>
    </row>
    <row r="22" spans="1:14">
      <c r="C22" s="2"/>
    </row>
    <row r="23" spans="1:14">
      <c r="A23" t="s">
        <v>336</v>
      </c>
      <c r="B23" t="s">
        <v>253</v>
      </c>
      <c r="C23" s="2"/>
    </row>
    <row r="24" spans="1:14">
      <c r="B24" t="s">
        <v>427</v>
      </c>
      <c r="C24" s="2"/>
      <c r="E24" t="s">
        <v>268</v>
      </c>
    </row>
    <row r="25" spans="1:14">
      <c r="A25" t="s">
        <v>340</v>
      </c>
      <c r="B25" s="2">
        <v>58.01</v>
      </c>
      <c r="C25" s="2"/>
      <c r="E25" s="2">
        <v>50</v>
      </c>
      <c r="J25" s="2"/>
    </row>
    <row r="26" spans="1:14">
      <c r="A26" t="s">
        <v>341</v>
      </c>
      <c r="B26" s="2">
        <v>56.64</v>
      </c>
      <c r="C26" s="2"/>
      <c r="D26" s="2"/>
      <c r="E26" s="2">
        <v>50</v>
      </c>
      <c r="F26" s="2"/>
      <c r="G26" s="2"/>
      <c r="H26" s="2"/>
      <c r="I26" s="2"/>
      <c r="J26" s="2"/>
    </row>
    <row r="27" spans="1:14">
      <c r="A27" t="s">
        <v>368</v>
      </c>
      <c r="B27" s="2">
        <v>56.5</v>
      </c>
      <c r="C27" s="2"/>
      <c r="D27" s="2"/>
      <c r="E27" s="2">
        <v>50</v>
      </c>
      <c r="F27" s="2"/>
      <c r="G27" s="2"/>
      <c r="H27" s="2"/>
      <c r="I27" s="2"/>
      <c r="J27" s="2"/>
    </row>
    <row r="28" spans="1:14">
      <c r="A28" t="s">
        <v>359</v>
      </c>
      <c r="B28" s="2"/>
      <c r="C28" s="2"/>
      <c r="D28" s="2"/>
      <c r="E28" s="2">
        <v>50</v>
      </c>
      <c r="F28" s="2"/>
      <c r="G28" s="2"/>
      <c r="H28" s="2"/>
      <c r="I28" s="2"/>
      <c r="J28" s="2"/>
    </row>
    <row r="29" spans="1:14">
      <c r="A29" t="s">
        <v>344</v>
      </c>
      <c r="B29" s="2">
        <v>340</v>
      </c>
      <c r="C29" s="2"/>
      <c r="D29" s="2"/>
      <c r="E29" s="2">
        <v>50</v>
      </c>
      <c r="F29" s="2"/>
      <c r="G29" s="2"/>
      <c r="H29" s="2"/>
      <c r="I29" s="2"/>
      <c r="J29" s="2"/>
    </row>
    <row r="30" spans="1:14">
      <c r="A30" t="s">
        <v>345</v>
      </c>
      <c r="B30" s="2"/>
      <c r="C30" s="2"/>
      <c r="D30" s="2"/>
      <c r="E30" s="2">
        <v>50</v>
      </c>
      <c r="F30" s="2"/>
      <c r="G30" s="2"/>
      <c r="H30" s="2"/>
      <c r="I30" s="2"/>
      <c r="J30" s="2"/>
    </row>
    <row r="31" spans="1:14">
      <c r="A31" t="s">
        <v>346</v>
      </c>
      <c r="B31" s="2"/>
      <c r="C31" s="2"/>
      <c r="D31" s="2"/>
      <c r="E31" s="2">
        <v>50</v>
      </c>
      <c r="F31" s="2"/>
      <c r="G31" s="2"/>
      <c r="H31" s="2"/>
      <c r="I31" s="2"/>
      <c r="J31" s="2"/>
    </row>
    <row r="32" spans="1:14">
      <c r="A32" t="s">
        <v>347</v>
      </c>
      <c r="B32" s="2"/>
      <c r="C32" s="2"/>
      <c r="D32" s="2"/>
      <c r="E32" s="2">
        <v>50</v>
      </c>
      <c r="F32" s="2"/>
      <c r="G32" s="2"/>
      <c r="H32" s="2"/>
      <c r="I32" s="2"/>
      <c r="J32" s="2"/>
    </row>
    <row r="33" spans="1:10">
      <c r="A33" t="s">
        <v>348</v>
      </c>
      <c r="B33" s="2"/>
      <c r="C33" s="2"/>
      <c r="D33" s="2"/>
      <c r="E33" s="2">
        <v>50</v>
      </c>
      <c r="F33" s="2"/>
      <c r="G33" s="2"/>
      <c r="H33" s="2"/>
      <c r="I33" s="2"/>
      <c r="J33" s="2"/>
    </row>
    <row r="34" spans="1:10">
      <c r="A34" t="s">
        <v>369</v>
      </c>
      <c r="B34" s="2">
        <v>171.03</v>
      </c>
      <c r="C34" s="2"/>
      <c r="D34" s="2"/>
      <c r="E34" s="2">
        <v>50</v>
      </c>
      <c r="F34" s="2"/>
      <c r="G34" s="2"/>
      <c r="H34" s="2"/>
      <c r="I34" s="2"/>
      <c r="J34" s="2"/>
    </row>
    <row r="35" spans="1:10">
      <c r="A35" t="s">
        <v>350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t="s">
        <v>370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t="s">
        <v>328</v>
      </c>
      <c r="B38" s="2">
        <f>SUM(B25:B36)</f>
        <v>682.18</v>
      </c>
      <c r="C38" s="2"/>
      <c r="D38" s="2"/>
      <c r="E38" s="2">
        <f>SUM(E25:E36)</f>
        <v>500</v>
      </c>
      <c r="F38" s="2"/>
      <c r="G38" s="2"/>
      <c r="H38" s="2"/>
      <c r="I38" s="2"/>
      <c r="J38" s="2"/>
    </row>
  </sheetData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S24"/>
  <sheetViews>
    <sheetView tabSelected="1" workbookViewId="0">
      <selection activeCell="A2" sqref="A2"/>
    </sheetView>
  </sheetViews>
  <sheetFormatPr baseColWidth="10" defaultColWidth="8.83203125" defaultRowHeight="14"/>
  <cols>
    <col min="1" max="1" width="10.5" customWidth="1"/>
    <col min="3" max="3" width="14" customWidth="1"/>
    <col min="4" max="5" width="11.33203125" customWidth="1"/>
    <col min="6" max="6" width="11.6640625" customWidth="1"/>
    <col min="7" max="8" width="13" customWidth="1"/>
    <col min="9" max="9" width="11.6640625" customWidth="1"/>
    <col min="11" max="11" width="11.5" customWidth="1"/>
    <col min="12" max="12" width="11" customWidth="1"/>
  </cols>
  <sheetData>
    <row r="1" spans="1:19">
      <c r="A1" t="s">
        <v>146</v>
      </c>
      <c r="C1" s="4"/>
    </row>
    <row r="2" spans="1:19">
      <c r="A2" s="24">
        <v>4000</v>
      </c>
      <c r="B2" t="s">
        <v>281</v>
      </c>
      <c r="D2" s="15"/>
      <c r="I2" s="7"/>
      <c r="J2" s="7"/>
      <c r="K2" s="7"/>
      <c r="L2" s="7"/>
      <c r="O2" s="7"/>
      <c r="P2" s="7"/>
      <c r="Q2" s="7"/>
      <c r="R2" s="7"/>
      <c r="S2" s="7"/>
    </row>
    <row r="3" spans="1:19" ht="49" customHeight="1">
      <c r="C3" t="s">
        <v>371</v>
      </c>
      <c r="D3" t="s">
        <v>270</v>
      </c>
      <c r="E3" t="s">
        <v>271</v>
      </c>
      <c r="F3" t="s">
        <v>333</v>
      </c>
      <c r="G3" s="5"/>
      <c r="H3" s="5"/>
      <c r="I3" s="5"/>
      <c r="K3" s="5"/>
      <c r="N3" s="7"/>
      <c r="O3" s="9"/>
      <c r="P3" s="9"/>
      <c r="Q3" s="9"/>
      <c r="R3" s="9"/>
      <c r="S3" s="9"/>
    </row>
    <row r="4" spans="1:19">
      <c r="A4" t="s">
        <v>340</v>
      </c>
      <c r="C4" s="2">
        <f t="shared" ref="C4:C15" si="0">D4+E4+F4</f>
        <v>258.73</v>
      </c>
      <c r="D4" s="2">
        <v>168.65</v>
      </c>
      <c r="E4" s="2">
        <v>90.08</v>
      </c>
      <c r="F4" s="2"/>
      <c r="G4" s="2"/>
      <c r="H4" s="2"/>
      <c r="I4" s="2"/>
      <c r="J4" s="2"/>
      <c r="O4" s="6"/>
      <c r="P4" s="7"/>
      <c r="Q4" s="7"/>
      <c r="R4" s="7"/>
      <c r="S4" s="6"/>
    </row>
    <row r="5" spans="1:19">
      <c r="A5" t="s">
        <v>372</v>
      </c>
      <c r="C5" s="2">
        <f t="shared" si="0"/>
        <v>791.82999999999993</v>
      </c>
      <c r="D5" s="2">
        <f>52.35+60.98+26.33+35.75+74.85+9.1+17.76+18.15+20.39+34.63+35.2+47.12</f>
        <v>432.60999999999996</v>
      </c>
      <c r="E5" s="2">
        <f>(72.72+102.64+27.53+36.67+157.16+13.05)-50.55</f>
        <v>359.22</v>
      </c>
      <c r="F5" s="2"/>
      <c r="G5" s="6"/>
      <c r="H5" s="6"/>
      <c r="I5" s="6"/>
      <c r="J5" s="6"/>
      <c r="K5" s="7"/>
      <c r="L5" s="7"/>
      <c r="O5" s="6"/>
      <c r="P5" s="7"/>
      <c r="Q5" s="7"/>
      <c r="R5" s="7"/>
      <c r="S5" s="6"/>
    </row>
    <row r="6" spans="1:19">
      <c r="A6" t="s">
        <v>342</v>
      </c>
      <c r="C6" s="2">
        <f t="shared" si="0"/>
        <v>486.71000000000004</v>
      </c>
      <c r="D6" s="6">
        <v>214.22</v>
      </c>
      <c r="E6" s="2">
        <v>272.49</v>
      </c>
      <c r="F6" s="2"/>
      <c r="G6" s="2"/>
      <c r="H6" s="2"/>
      <c r="I6" s="2"/>
      <c r="J6" s="2"/>
      <c r="O6" s="6"/>
      <c r="P6" s="7"/>
      <c r="Q6" s="7"/>
      <c r="R6" s="7"/>
      <c r="S6" s="6"/>
    </row>
    <row r="7" spans="1:19">
      <c r="A7" t="s">
        <v>343</v>
      </c>
      <c r="C7" s="2">
        <f t="shared" si="0"/>
        <v>404.55</v>
      </c>
      <c r="D7" s="6">
        <v>247.68</v>
      </c>
      <c r="E7" s="2">
        <v>119.13</v>
      </c>
      <c r="F7" s="2">
        <v>37.74</v>
      </c>
      <c r="G7" s="2"/>
      <c r="H7" s="2"/>
      <c r="I7" s="2"/>
      <c r="J7" s="2"/>
      <c r="O7" s="6"/>
      <c r="P7" s="7"/>
      <c r="Q7" s="7"/>
      <c r="R7" s="7"/>
      <c r="S7" s="6"/>
    </row>
    <row r="8" spans="1:19">
      <c r="A8" t="s">
        <v>344</v>
      </c>
      <c r="C8" s="2">
        <f t="shared" si="0"/>
        <v>536.01</v>
      </c>
      <c r="D8" s="6">
        <v>371.65</v>
      </c>
      <c r="E8" s="2">
        <f>SUM(209.69-50.18)</f>
        <v>159.51</v>
      </c>
      <c r="F8" s="2">
        <v>4.8499999999999996</v>
      </c>
      <c r="G8" s="6"/>
      <c r="H8" s="6"/>
      <c r="I8" s="6"/>
      <c r="J8" s="6"/>
      <c r="K8" s="7"/>
      <c r="L8" s="7"/>
      <c r="M8" s="7"/>
      <c r="N8" s="7"/>
      <c r="O8" s="6"/>
      <c r="P8" s="7"/>
      <c r="Q8" s="7"/>
      <c r="R8" s="7"/>
      <c r="S8" s="6"/>
    </row>
    <row r="9" spans="1:19">
      <c r="A9" t="s">
        <v>345</v>
      </c>
      <c r="C9" s="2">
        <f t="shared" si="0"/>
        <v>680.0100000000001</v>
      </c>
      <c r="D9" s="2">
        <v>287.18</v>
      </c>
      <c r="E9" s="2">
        <v>334.23</v>
      </c>
      <c r="F9" s="2">
        <v>58.6</v>
      </c>
      <c r="G9" s="2"/>
      <c r="H9" s="2"/>
      <c r="I9" s="2"/>
      <c r="J9" s="2"/>
      <c r="O9" s="6"/>
      <c r="P9" s="7"/>
      <c r="Q9" s="7"/>
      <c r="R9" s="7"/>
      <c r="S9" s="6"/>
    </row>
    <row r="10" spans="1:19">
      <c r="A10" t="s">
        <v>346</v>
      </c>
      <c r="C10" s="2">
        <f t="shared" si="0"/>
        <v>307.44</v>
      </c>
      <c r="D10" s="2">
        <v>0</v>
      </c>
      <c r="E10" s="2">
        <v>307.44</v>
      </c>
      <c r="F10" s="2"/>
      <c r="G10" s="2"/>
      <c r="H10" s="2"/>
      <c r="I10" s="2"/>
      <c r="J10" s="2"/>
      <c r="O10" s="6"/>
      <c r="P10" s="7"/>
      <c r="Q10" s="7"/>
      <c r="R10" s="7"/>
      <c r="S10" s="6"/>
    </row>
    <row r="11" spans="1:19">
      <c r="A11" t="s">
        <v>347</v>
      </c>
      <c r="C11" s="2">
        <f t="shared" si="0"/>
        <v>254.43</v>
      </c>
      <c r="D11" s="2"/>
      <c r="E11" s="2">
        <v>220.48</v>
      </c>
      <c r="F11" s="2">
        <v>33.950000000000003</v>
      </c>
      <c r="G11" s="2"/>
      <c r="H11" s="2"/>
      <c r="I11" s="2"/>
      <c r="J11" s="2"/>
      <c r="O11" s="6"/>
      <c r="P11" s="7"/>
      <c r="Q11" s="7"/>
      <c r="R11" s="7"/>
      <c r="S11" s="6"/>
    </row>
    <row r="12" spans="1:19">
      <c r="A12" t="s">
        <v>348</v>
      </c>
      <c r="C12" s="2">
        <f t="shared" si="0"/>
        <v>240</v>
      </c>
      <c r="D12" s="2"/>
      <c r="E12" s="2">
        <v>240</v>
      </c>
      <c r="F12" s="2"/>
      <c r="G12" s="2"/>
      <c r="H12" s="2"/>
      <c r="I12" s="2"/>
      <c r="J12" s="2"/>
      <c r="O12" s="6"/>
      <c r="P12" s="7"/>
      <c r="Q12" s="7"/>
      <c r="R12" s="7"/>
      <c r="S12" s="6"/>
    </row>
    <row r="13" spans="1:19">
      <c r="A13" t="s">
        <v>369</v>
      </c>
      <c r="C13" s="2">
        <f t="shared" si="0"/>
        <v>29</v>
      </c>
      <c r="D13" s="2"/>
      <c r="E13" s="2"/>
      <c r="F13" s="2">
        <v>29</v>
      </c>
      <c r="G13" s="2"/>
      <c r="H13" s="2"/>
      <c r="I13" s="2"/>
      <c r="J13" s="2"/>
      <c r="O13" s="6"/>
      <c r="P13" s="7"/>
      <c r="Q13" s="7"/>
      <c r="R13" s="7"/>
      <c r="S13" s="6"/>
    </row>
    <row r="14" spans="1:19">
      <c r="A14" t="s">
        <v>350</v>
      </c>
      <c r="C14" s="2">
        <f t="shared" si="0"/>
        <v>0</v>
      </c>
      <c r="D14" s="2"/>
      <c r="E14" s="2"/>
      <c r="F14" s="2"/>
      <c r="G14" s="2"/>
      <c r="H14" s="2"/>
      <c r="I14" s="2"/>
      <c r="J14" s="2"/>
      <c r="O14" s="6"/>
      <c r="P14" s="7"/>
      <c r="Q14" s="7"/>
      <c r="R14" s="7"/>
      <c r="S14" s="6"/>
    </row>
    <row r="15" spans="1:19">
      <c r="A15" t="s">
        <v>351</v>
      </c>
      <c r="C15" s="2">
        <f t="shared" si="0"/>
        <v>0</v>
      </c>
      <c r="D15" s="2"/>
      <c r="E15" s="2"/>
      <c r="F15" s="2"/>
      <c r="G15" s="2"/>
      <c r="H15" s="2"/>
      <c r="I15" s="2"/>
      <c r="J15" s="2"/>
      <c r="S15" s="6"/>
    </row>
    <row r="16" spans="1:19">
      <c r="D16" s="2"/>
      <c r="E16" s="2"/>
      <c r="F16" s="2"/>
      <c r="G16" s="2"/>
      <c r="H16" s="2"/>
      <c r="I16" s="2"/>
      <c r="J16" s="2"/>
      <c r="S16" s="6"/>
    </row>
    <row r="17" spans="1:15" ht="42">
      <c r="A17" s="5" t="s">
        <v>373</v>
      </c>
      <c r="C17" s="4">
        <f>SUM(C4:C15)</f>
        <v>3988.71</v>
      </c>
      <c r="D17" t="s">
        <v>274</v>
      </c>
      <c r="G17" s="4">
        <f>C21+C22</f>
        <v>3824.5699999999997</v>
      </c>
      <c r="H17" s="2"/>
      <c r="I17" s="2"/>
      <c r="J17" s="2"/>
      <c r="O17" s="2"/>
    </row>
    <row r="18" spans="1:15">
      <c r="F18" s="2"/>
    </row>
    <row r="19" spans="1:15">
      <c r="A19" t="s">
        <v>374</v>
      </c>
      <c r="C19" s="4">
        <f>(A2-C17)</f>
        <v>11.289999999999964</v>
      </c>
      <c r="F19" s="2"/>
    </row>
    <row r="20" spans="1:15">
      <c r="C20" t="s">
        <v>277</v>
      </c>
      <c r="E20" t="s">
        <v>279</v>
      </c>
      <c r="G20" t="s">
        <v>278</v>
      </c>
    </row>
    <row r="21" spans="1:15">
      <c r="A21" t="s">
        <v>254</v>
      </c>
      <c r="C21" s="2">
        <f>SUM(D4:D15)</f>
        <v>1721.99</v>
      </c>
      <c r="D21" s="4"/>
      <c r="E21" s="4">
        <f>G21-C21</f>
        <v>-21.990000000000009</v>
      </c>
      <c r="G21" s="23">
        <v>1700</v>
      </c>
      <c r="H21" s="2">
        <f>1700/12</f>
        <v>141.66666666666666</v>
      </c>
      <c r="I21" t="s">
        <v>83</v>
      </c>
      <c r="K21" s="15"/>
    </row>
    <row r="22" spans="1:15">
      <c r="A22" t="s">
        <v>252</v>
      </c>
      <c r="C22" s="2">
        <f>SUM(E4:E15)</f>
        <v>2102.58</v>
      </c>
      <c r="D22" s="4"/>
      <c r="E22" s="4">
        <f>G22-C22</f>
        <v>-2.5799999999999272</v>
      </c>
      <c r="G22" s="23">
        <v>2100</v>
      </c>
      <c r="H22" s="2">
        <f>2100/12</f>
        <v>175</v>
      </c>
      <c r="I22" t="s">
        <v>83</v>
      </c>
      <c r="K22" s="15"/>
      <c r="L22" s="4"/>
    </row>
    <row r="23" spans="1:15">
      <c r="A23" t="s">
        <v>255</v>
      </c>
      <c r="C23" s="2">
        <f>SUM(F4:F15)</f>
        <v>164.14</v>
      </c>
      <c r="D23" s="2"/>
      <c r="E23" s="4">
        <f>G23-C23</f>
        <v>35.860000000000014</v>
      </c>
      <c r="G23" s="2">
        <v>200</v>
      </c>
      <c r="H23" s="2"/>
    </row>
    <row r="24" spans="1:15">
      <c r="G24" s="2"/>
      <c r="H24" s="2"/>
    </row>
  </sheetData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N26"/>
  <sheetViews>
    <sheetView workbookViewId="0">
      <selection activeCell="C20" sqref="C20"/>
    </sheetView>
  </sheetViews>
  <sheetFormatPr baseColWidth="10" defaultColWidth="8.83203125" defaultRowHeight="14"/>
  <cols>
    <col min="3" max="3" width="10.33203125" customWidth="1"/>
  </cols>
  <sheetData>
    <row r="1" spans="1:14">
      <c r="A1" t="s">
        <v>352</v>
      </c>
      <c r="C1" s="4">
        <v>3000</v>
      </c>
    </row>
    <row r="4" spans="1:14">
      <c r="C4" t="s">
        <v>353</v>
      </c>
      <c r="E4" s="7" t="s">
        <v>354</v>
      </c>
      <c r="F4" s="7"/>
      <c r="G4" s="7" t="s">
        <v>355</v>
      </c>
      <c r="H4" s="7"/>
      <c r="I4" s="7" t="s">
        <v>356</v>
      </c>
      <c r="J4" s="7"/>
      <c r="K4" t="s">
        <v>420</v>
      </c>
      <c r="M4" t="s">
        <v>357</v>
      </c>
      <c r="N4" t="s">
        <v>358</v>
      </c>
    </row>
    <row r="5" spans="1:14">
      <c r="A5" t="s">
        <v>340</v>
      </c>
      <c r="C5" s="2"/>
      <c r="D5" s="2"/>
      <c r="E5" s="6">
        <v>24.22</v>
      </c>
      <c r="F5" s="6"/>
      <c r="G5" s="6"/>
      <c r="H5" s="6"/>
      <c r="I5" s="6">
        <v>69.28</v>
      </c>
      <c r="J5" s="7"/>
      <c r="K5" s="2"/>
      <c r="L5" s="2"/>
      <c r="M5" s="2"/>
      <c r="N5" s="2">
        <f>SUM(C5:M5)</f>
        <v>93.5</v>
      </c>
    </row>
    <row r="6" spans="1:14">
      <c r="A6" t="s">
        <v>341</v>
      </c>
      <c r="C6" s="6">
        <v>1563.18</v>
      </c>
      <c r="D6" s="2"/>
      <c r="E6" s="6">
        <v>20.74</v>
      </c>
      <c r="F6" s="6"/>
      <c r="G6" s="6"/>
      <c r="H6" s="6"/>
      <c r="I6" s="6">
        <v>68.510000000000005</v>
      </c>
      <c r="J6" s="7"/>
      <c r="K6" s="2"/>
      <c r="L6" s="2"/>
      <c r="M6" s="2"/>
      <c r="N6" s="2">
        <f t="shared" ref="N6:N16" si="0">SUM(C6:M6)</f>
        <v>1652.43</v>
      </c>
    </row>
    <row r="7" spans="1:14">
      <c r="A7" t="s">
        <v>342</v>
      </c>
      <c r="C7" s="2"/>
      <c r="D7" s="2"/>
      <c r="E7" s="6">
        <v>18.2</v>
      </c>
      <c r="F7" s="6"/>
      <c r="G7" s="6">
        <v>51.67</v>
      </c>
      <c r="H7" s="6"/>
      <c r="I7" s="6">
        <v>43.6</v>
      </c>
      <c r="J7" s="7"/>
      <c r="K7" s="2"/>
      <c r="L7" s="2"/>
      <c r="M7" s="2"/>
      <c r="N7" s="2">
        <f t="shared" si="0"/>
        <v>113.47</v>
      </c>
    </row>
    <row r="8" spans="1:14">
      <c r="A8" t="s">
        <v>359</v>
      </c>
      <c r="C8" s="2"/>
      <c r="D8" s="2"/>
      <c r="E8" s="6">
        <v>20.329999999999998</v>
      </c>
      <c r="F8" s="6"/>
      <c r="G8" s="6">
        <v>54.38</v>
      </c>
      <c r="H8" s="6"/>
      <c r="I8" s="6"/>
      <c r="J8" s="7"/>
      <c r="K8" s="2"/>
      <c r="L8" s="2"/>
      <c r="M8" s="2"/>
      <c r="N8" s="2">
        <f t="shared" si="0"/>
        <v>74.710000000000008</v>
      </c>
    </row>
    <row r="9" spans="1:14">
      <c r="A9" t="s">
        <v>360</v>
      </c>
      <c r="C9" s="2"/>
      <c r="D9" s="2"/>
      <c r="E9" s="2">
        <v>25.77</v>
      </c>
      <c r="F9" s="2"/>
      <c r="G9" s="2"/>
      <c r="H9" s="2"/>
      <c r="I9" s="2">
        <v>93.42</v>
      </c>
      <c r="K9" s="2"/>
      <c r="L9" s="2"/>
      <c r="M9" s="2"/>
      <c r="N9" s="2">
        <f t="shared" si="0"/>
        <v>119.19</v>
      </c>
    </row>
    <row r="10" spans="1:14">
      <c r="A10" t="s">
        <v>361</v>
      </c>
      <c r="C10" s="2"/>
      <c r="D10" s="2"/>
      <c r="E10" s="2">
        <v>38.03</v>
      </c>
      <c r="F10" s="2"/>
      <c r="G10" s="2">
        <v>145.22</v>
      </c>
      <c r="H10" s="2"/>
      <c r="I10" s="2">
        <v>77.849999999999994</v>
      </c>
      <c r="K10" s="2"/>
      <c r="L10" s="2"/>
      <c r="M10" s="2"/>
      <c r="N10" s="2">
        <f t="shared" si="0"/>
        <v>261.10000000000002</v>
      </c>
    </row>
    <row r="11" spans="1:14">
      <c r="A11" t="s">
        <v>362</v>
      </c>
      <c r="C11" s="2"/>
      <c r="D11" s="2"/>
      <c r="E11" s="2">
        <v>22.89</v>
      </c>
      <c r="F11" s="2"/>
      <c r="G11" s="2"/>
      <c r="H11" s="2"/>
      <c r="I11" s="2">
        <v>74.739999999999995</v>
      </c>
      <c r="K11" s="2"/>
      <c r="L11" s="2"/>
      <c r="M11" s="2">
        <v>86.36</v>
      </c>
      <c r="N11" s="2">
        <f t="shared" si="0"/>
        <v>183.99</v>
      </c>
    </row>
    <row r="12" spans="1:14">
      <c r="A12" t="s">
        <v>363</v>
      </c>
      <c r="C12" s="2"/>
      <c r="D12" s="2"/>
      <c r="E12" s="2">
        <v>19.02</v>
      </c>
      <c r="F12" s="2"/>
      <c r="G12" s="2"/>
      <c r="H12" s="2"/>
      <c r="I12" s="2">
        <v>84.85</v>
      </c>
      <c r="K12" s="2"/>
      <c r="L12" s="2"/>
      <c r="M12" s="2"/>
      <c r="N12" s="2">
        <f t="shared" si="0"/>
        <v>103.86999999999999</v>
      </c>
    </row>
    <row r="13" spans="1:14">
      <c r="A13" t="s">
        <v>364</v>
      </c>
      <c r="C13" s="2"/>
      <c r="D13" s="2"/>
      <c r="E13" s="2">
        <v>19.07</v>
      </c>
      <c r="F13" s="2"/>
      <c r="G13" s="2">
        <v>135.76</v>
      </c>
      <c r="H13" s="2"/>
      <c r="I13" s="2">
        <v>66.180000000000007</v>
      </c>
      <c r="K13" s="2"/>
      <c r="L13" s="2"/>
      <c r="M13" s="2"/>
      <c r="N13" s="2">
        <f t="shared" si="0"/>
        <v>221.01</v>
      </c>
    </row>
    <row r="14" spans="1:14">
      <c r="A14" t="s">
        <v>349</v>
      </c>
      <c r="C14" s="2"/>
      <c r="D14" s="2"/>
      <c r="E14" s="2">
        <v>15.47</v>
      </c>
      <c r="F14" s="2"/>
      <c r="G14" s="2">
        <v>108.94</v>
      </c>
      <c r="H14" s="2"/>
      <c r="I14" s="2">
        <v>68.5</v>
      </c>
      <c r="K14" s="2"/>
      <c r="L14" s="2"/>
      <c r="M14" s="2"/>
      <c r="N14" s="2">
        <f t="shared" si="0"/>
        <v>192.91</v>
      </c>
    </row>
    <row r="15" spans="1:14">
      <c r="A15" t="s">
        <v>350</v>
      </c>
      <c r="C15" s="2"/>
      <c r="D15" s="2"/>
      <c r="E15" s="2"/>
      <c r="F15" s="2"/>
      <c r="G15" s="2"/>
      <c r="H15" s="2"/>
      <c r="I15" s="2"/>
      <c r="K15" s="2"/>
      <c r="L15" s="2"/>
      <c r="M15" s="2"/>
      <c r="N15" s="2">
        <f t="shared" si="0"/>
        <v>0</v>
      </c>
    </row>
    <row r="16" spans="1:14">
      <c r="A16" t="s">
        <v>351</v>
      </c>
      <c r="C16" s="2"/>
      <c r="D16" s="2"/>
      <c r="E16" s="2"/>
      <c r="F16" s="2"/>
      <c r="G16" s="2"/>
      <c r="H16" s="2"/>
      <c r="I16" s="2"/>
      <c r="K16" s="2"/>
      <c r="L16" s="2"/>
      <c r="M16" s="2"/>
      <c r="N16" s="2">
        <f t="shared" si="0"/>
        <v>0</v>
      </c>
    </row>
    <row r="17" spans="1:14">
      <c r="C17" s="2"/>
      <c r="D17" s="2"/>
      <c r="E17" s="2"/>
      <c r="F17" s="2"/>
      <c r="G17" s="2"/>
      <c r="H17" s="2"/>
      <c r="I17" s="2"/>
      <c r="K17" s="2"/>
      <c r="L17" s="2"/>
      <c r="M17" s="2"/>
      <c r="N17" s="2"/>
    </row>
    <row r="18" spans="1:14">
      <c r="A18" t="s">
        <v>328</v>
      </c>
      <c r="C18" s="2">
        <f>SUM(C5:C16)</f>
        <v>1563.18</v>
      </c>
      <c r="D18" s="2"/>
      <c r="E18" s="2">
        <f>SUM(E5:E16)</f>
        <v>223.74</v>
      </c>
      <c r="F18" s="2"/>
      <c r="G18" s="2">
        <f>SUM(G5:G16)</f>
        <v>495.96999999999997</v>
      </c>
      <c r="H18" s="2"/>
      <c r="I18" s="2">
        <f>SUM(I5:I16)</f>
        <v>646.93000000000006</v>
      </c>
      <c r="K18" s="2"/>
      <c r="L18" s="2"/>
      <c r="M18" s="2"/>
      <c r="N18" s="2">
        <f>SUM(N5:N16)</f>
        <v>3016.1800000000003</v>
      </c>
    </row>
    <row r="20" spans="1:14">
      <c r="A20" t="s">
        <v>365</v>
      </c>
      <c r="C20" s="2">
        <f>C1-N18</f>
        <v>-16.180000000000291</v>
      </c>
    </row>
    <row r="21" spans="1:14">
      <c r="A21" t="s">
        <v>73</v>
      </c>
      <c r="C21" s="2">
        <v>782</v>
      </c>
    </row>
    <row r="22" spans="1:14">
      <c r="A22" t="s">
        <v>74</v>
      </c>
      <c r="C22" s="2">
        <v>278</v>
      </c>
    </row>
    <row r="23" spans="1:14">
      <c r="A23" t="s">
        <v>75</v>
      </c>
      <c r="C23" s="2">
        <v>573</v>
      </c>
    </row>
    <row r="24" spans="1:14">
      <c r="C24" s="2"/>
    </row>
    <row r="26" spans="1:14">
      <c r="A26" t="s">
        <v>144</v>
      </c>
      <c r="C26" t="s">
        <v>17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J24"/>
  <sheetViews>
    <sheetView workbookViewId="0">
      <selection activeCell="I21" sqref="I21"/>
    </sheetView>
  </sheetViews>
  <sheetFormatPr baseColWidth="10" defaultColWidth="8.83203125" defaultRowHeight="14"/>
  <cols>
    <col min="10" max="10" width="12" customWidth="1"/>
  </cols>
  <sheetData>
    <row r="1" spans="1:10">
      <c r="A1" s="7" t="s">
        <v>147</v>
      </c>
      <c r="B1" s="7"/>
      <c r="C1" s="7"/>
      <c r="D1" s="7"/>
      <c r="E1" s="7"/>
      <c r="F1" s="7"/>
      <c r="G1" s="7"/>
      <c r="H1" s="7"/>
      <c r="I1" s="7"/>
    </row>
    <row r="2" spans="1:10">
      <c r="A2" s="7"/>
      <c r="B2" s="7"/>
      <c r="C2" s="7"/>
      <c r="D2" s="7"/>
      <c r="E2" s="7"/>
      <c r="F2" s="7"/>
      <c r="G2" s="7"/>
      <c r="H2" s="7"/>
      <c r="I2" s="7"/>
    </row>
    <row r="3" spans="1:10">
      <c r="A3" s="7">
        <v>395.46</v>
      </c>
      <c r="B3" s="7" t="s">
        <v>245</v>
      </c>
      <c r="C3" s="7"/>
      <c r="D3" s="7"/>
      <c r="E3" s="7"/>
      <c r="F3" s="7"/>
      <c r="G3" s="7"/>
      <c r="H3" s="7"/>
      <c r="I3" s="7"/>
    </row>
    <row r="4" spans="1:10">
      <c r="A4" s="6">
        <v>288</v>
      </c>
      <c r="B4" s="7" t="s">
        <v>263</v>
      </c>
      <c r="C4" s="7"/>
      <c r="D4" s="7"/>
      <c r="E4" s="7"/>
      <c r="F4" s="7"/>
      <c r="G4" s="7"/>
      <c r="H4" s="7"/>
      <c r="I4" s="7"/>
    </row>
    <row r="5" spans="1:10">
      <c r="A5" s="6">
        <v>107.46</v>
      </c>
      <c r="B5" s="7" t="s">
        <v>222</v>
      </c>
      <c r="C5" s="7" t="s">
        <v>223</v>
      </c>
      <c r="D5" s="7"/>
      <c r="E5" s="7"/>
      <c r="F5" s="7"/>
      <c r="G5" s="7"/>
      <c r="H5" s="7"/>
      <c r="I5" s="7"/>
    </row>
    <row r="6" spans="1:10" ht="28">
      <c r="A6" s="7"/>
      <c r="B6" s="7"/>
      <c r="C6" s="7" t="s">
        <v>264</v>
      </c>
      <c r="D6" s="7"/>
      <c r="E6" s="7" t="s">
        <v>265</v>
      </c>
      <c r="F6" s="7"/>
      <c r="G6" s="7" t="s">
        <v>357</v>
      </c>
      <c r="H6" s="9" t="s">
        <v>273</v>
      </c>
      <c r="I6" s="7" t="s">
        <v>279</v>
      </c>
    </row>
    <row r="7" spans="1:10">
      <c r="A7" s="7"/>
      <c r="B7" s="7" t="s">
        <v>340</v>
      </c>
      <c r="C7" s="6">
        <v>24</v>
      </c>
      <c r="D7" s="7"/>
      <c r="E7" s="6">
        <v>50</v>
      </c>
      <c r="F7" s="7"/>
      <c r="G7" s="7"/>
      <c r="H7" s="7"/>
      <c r="I7" s="7"/>
    </row>
    <row r="8" spans="1:10">
      <c r="A8" s="7"/>
      <c r="B8" s="7" t="s">
        <v>372</v>
      </c>
      <c r="C8" s="6">
        <v>24</v>
      </c>
      <c r="D8" s="7"/>
      <c r="E8" s="6">
        <v>50</v>
      </c>
      <c r="F8" s="7"/>
      <c r="G8" s="7"/>
      <c r="H8" s="7"/>
      <c r="I8" s="7"/>
      <c r="J8" s="2"/>
    </row>
    <row r="9" spans="1:10">
      <c r="A9" s="7"/>
      <c r="B9" s="7" t="s">
        <v>342</v>
      </c>
      <c r="C9" s="6">
        <v>24</v>
      </c>
      <c r="D9" s="7"/>
      <c r="E9" s="6">
        <v>50</v>
      </c>
      <c r="F9" s="7"/>
      <c r="G9" s="7"/>
      <c r="H9" s="7"/>
      <c r="I9" s="7"/>
      <c r="J9" s="2"/>
    </row>
    <row r="10" spans="1:10">
      <c r="A10" s="7"/>
      <c r="B10" s="7" t="s">
        <v>343</v>
      </c>
      <c r="C10" s="6">
        <v>24</v>
      </c>
      <c r="D10" s="7"/>
      <c r="E10" s="6">
        <v>50</v>
      </c>
      <c r="F10" s="7"/>
      <c r="G10" s="7"/>
      <c r="H10" s="7"/>
      <c r="I10" s="7"/>
      <c r="J10" s="2"/>
    </row>
    <row r="11" spans="1:10">
      <c r="A11" s="7"/>
      <c r="B11" s="7" t="s">
        <v>344</v>
      </c>
      <c r="C11" s="6">
        <v>24</v>
      </c>
      <c r="D11" s="7"/>
      <c r="E11" s="6">
        <v>50</v>
      </c>
      <c r="F11" s="7"/>
      <c r="G11" s="7"/>
      <c r="H11" s="7"/>
      <c r="I11" s="7"/>
      <c r="J11" s="2"/>
    </row>
    <row r="12" spans="1:10">
      <c r="A12" s="7"/>
      <c r="B12" s="7" t="s">
        <v>345</v>
      </c>
      <c r="C12" s="6">
        <v>24</v>
      </c>
      <c r="D12" s="7"/>
      <c r="E12" s="6">
        <v>50</v>
      </c>
      <c r="F12" s="7"/>
      <c r="G12" s="7"/>
      <c r="H12" s="7"/>
      <c r="I12" s="7"/>
      <c r="J12" s="2"/>
    </row>
    <row r="13" spans="1:10">
      <c r="A13" s="7"/>
      <c r="B13" s="7" t="s">
        <v>346</v>
      </c>
      <c r="C13" s="6">
        <v>24</v>
      </c>
      <c r="D13" s="7"/>
      <c r="E13" s="6">
        <v>50</v>
      </c>
      <c r="F13" s="7"/>
      <c r="G13" s="6">
        <v>107.46</v>
      </c>
      <c r="H13" s="7"/>
      <c r="I13" s="7"/>
      <c r="J13" s="2"/>
    </row>
    <row r="14" spans="1:10">
      <c r="A14" s="7"/>
      <c r="B14" s="7" t="s">
        <v>347</v>
      </c>
      <c r="C14" s="6">
        <v>24</v>
      </c>
      <c r="D14" s="7"/>
      <c r="E14" s="6">
        <v>50</v>
      </c>
      <c r="F14" s="7"/>
      <c r="G14" s="7"/>
      <c r="H14" s="7"/>
      <c r="I14" s="7"/>
      <c r="J14" s="2"/>
    </row>
    <row r="15" spans="1:10">
      <c r="A15" s="7"/>
      <c r="B15" s="7" t="s">
        <v>348</v>
      </c>
      <c r="C15" s="6">
        <v>24</v>
      </c>
      <c r="D15" s="7"/>
      <c r="E15" s="6">
        <v>50</v>
      </c>
      <c r="F15" s="7"/>
      <c r="G15" s="7"/>
      <c r="H15" s="7"/>
      <c r="I15" s="7"/>
      <c r="J15" s="2"/>
    </row>
    <row r="16" spans="1:10">
      <c r="A16" s="7"/>
      <c r="B16" s="7" t="s">
        <v>369</v>
      </c>
      <c r="C16" s="6">
        <v>24</v>
      </c>
      <c r="D16" s="7"/>
      <c r="E16" s="6">
        <v>50</v>
      </c>
      <c r="F16" s="7"/>
      <c r="G16" s="7"/>
      <c r="H16" s="7"/>
      <c r="I16" s="7"/>
      <c r="J16" s="2"/>
    </row>
    <row r="17" spans="1:10">
      <c r="A17" s="7"/>
      <c r="B17" s="7" t="s">
        <v>350</v>
      </c>
      <c r="C17" s="6">
        <v>24</v>
      </c>
      <c r="D17" s="7"/>
      <c r="E17" s="6">
        <v>50</v>
      </c>
      <c r="F17" s="7"/>
      <c r="G17" s="7"/>
      <c r="H17" s="7"/>
      <c r="I17" s="7"/>
      <c r="J17" s="2"/>
    </row>
    <row r="18" spans="1:10">
      <c r="A18" s="7"/>
      <c r="B18" s="7" t="s">
        <v>351</v>
      </c>
      <c r="C18" s="6">
        <v>24</v>
      </c>
      <c r="D18" s="7"/>
      <c r="E18" s="6">
        <v>50</v>
      </c>
      <c r="F18" s="7"/>
      <c r="G18" s="7"/>
      <c r="H18" s="7"/>
      <c r="I18" s="7"/>
    </row>
    <row r="19" spans="1:10">
      <c r="A19" s="7"/>
      <c r="B19" s="7"/>
      <c r="C19" s="7"/>
      <c r="D19" s="7"/>
      <c r="E19" s="7"/>
      <c r="F19" s="7"/>
      <c r="G19" s="7"/>
      <c r="H19" s="7"/>
      <c r="I19" s="7"/>
    </row>
    <row r="20" spans="1:10">
      <c r="A20" s="7" t="s">
        <v>371</v>
      </c>
      <c r="B20" s="7"/>
      <c r="C20" s="6">
        <f>SUM(C7:C18)</f>
        <v>288</v>
      </c>
      <c r="D20" s="7"/>
      <c r="E20" s="6">
        <f>SUM(E7:E18)</f>
        <v>600</v>
      </c>
      <c r="F20" s="7"/>
      <c r="G20" s="6">
        <f>SUM(G7:G18)</f>
        <v>107.46</v>
      </c>
      <c r="H20" s="6">
        <f>C20+G20</f>
        <v>395.46</v>
      </c>
      <c r="I20" s="6">
        <f>A3-H20</f>
        <v>0</v>
      </c>
    </row>
    <row r="21" spans="1:10">
      <c r="A21" s="7"/>
      <c r="B21" s="7"/>
      <c r="C21" s="7"/>
      <c r="D21" s="7"/>
      <c r="E21" s="7"/>
      <c r="F21" s="7"/>
      <c r="G21" s="7"/>
      <c r="H21" s="7"/>
      <c r="I21" s="7"/>
    </row>
    <row r="22" spans="1:10">
      <c r="A22" s="7" t="s">
        <v>266</v>
      </c>
      <c r="B22" s="7"/>
      <c r="C22" s="7"/>
      <c r="D22" s="6">
        <f>74*12</f>
        <v>888</v>
      </c>
      <c r="E22" s="7"/>
      <c r="F22" s="7"/>
      <c r="G22" s="7"/>
      <c r="H22" s="7"/>
      <c r="I22" s="7"/>
    </row>
    <row r="23" spans="1:10">
      <c r="A23" s="7" t="s">
        <v>127</v>
      </c>
      <c r="B23" s="7"/>
      <c r="C23" s="7"/>
      <c r="D23" s="7"/>
      <c r="E23" s="7"/>
      <c r="F23" s="7"/>
      <c r="G23" s="7"/>
      <c r="H23" s="7"/>
      <c r="I23" s="7"/>
    </row>
    <row r="24" spans="1:10">
      <c r="A24" s="4"/>
      <c r="E24" s="7"/>
    </row>
  </sheetData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41"/>
  <sheetViews>
    <sheetView zoomScale="105" workbookViewId="0">
      <selection activeCell="F17" sqref="F17"/>
    </sheetView>
  </sheetViews>
  <sheetFormatPr baseColWidth="10" defaultRowHeight="14"/>
  <cols>
    <col min="1" max="1" width="23.1640625" customWidth="1"/>
    <col min="2" max="2" width="11.33203125" customWidth="1"/>
    <col min="4" max="4" width="45.6640625" customWidth="1"/>
  </cols>
  <sheetData>
    <row r="1" spans="1:6">
      <c r="A1" s="33" t="s">
        <v>101</v>
      </c>
    </row>
    <row r="3" spans="1:6">
      <c r="A3" t="s">
        <v>106</v>
      </c>
      <c r="B3" s="4">
        <f>Budget!B5</f>
        <v>5988</v>
      </c>
      <c r="E3" t="s">
        <v>339</v>
      </c>
    </row>
    <row r="4" spans="1:6">
      <c r="B4" s="1"/>
    </row>
    <row r="5" spans="1:6">
      <c r="A5" t="s">
        <v>331</v>
      </c>
      <c r="B5" s="4">
        <v>2500</v>
      </c>
      <c r="E5" s="2">
        <f>C29</f>
        <v>844</v>
      </c>
    </row>
    <row r="6" spans="1:6">
      <c r="A6" t="s">
        <v>269</v>
      </c>
      <c r="B6" s="4">
        <f>SUM(1799.96+159.98+159.99)</f>
        <v>2119.9300000000003</v>
      </c>
      <c r="D6" t="s">
        <v>109</v>
      </c>
      <c r="E6" s="2">
        <f>SUM(2038.71+46.79)</f>
        <v>2085.5</v>
      </c>
    </row>
    <row r="7" spans="1:6">
      <c r="A7" t="s">
        <v>367</v>
      </c>
      <c r="B7" s="4">
        <f>SUM(81.78+69.78)</f>
        <v>151.56</v>
      </c>
      <c r="D7" t="s">
        <v>108</v>
      </c>
      <c r="E7" s="2">
        <f>46.79+6.87</f>
        <v>53.66</v>
      </c>
    </row>
    <row r="8" spans="1:6">
      <c r="A8" t="s">
        <v>107</v>
      </c>
      <c r="B8" s="4">
        <v>1216</v>
      </c>
      <c r="E8" s="2">
        <f>E18</f>
        <v>1130</v>
      </c>
      <c r="F8" t="s">
        <v>28</v>
      </c>
    </row>
    <row r="9" spans="1:6">
      <c r="B9" s="4"/>
      <c r="E9" s="2"/>
    </row>
    <row r="10" spans="1:6">
      <c r="A10" t="s">
        <v>371</v>
      </c>
      <c r="B10" s="4">
        <f>SUM(B5:B9)</f>
        <v>5987.4900000000007</v>
      </c>
      <c r="D10" t="s">
        <v>110</v>
      </c>
      <c r="E10" s="2">
        <f>SUM(E5:E9)</f>
        <v>4113.16</v>
      </c>
    </row>
    <row r="11" spans="1:6">
      <c r="B11" s="1"/>
    </row>
    <row r="12" spans="1:6">
      <c r="A12" t="s">
        <v>27</v>
      </c>
      <c r="B12" s="1"/>
    </row>
    <row r="13" spans="1:6">
      <c r="A13" t="s">
        <v>25</v>
      </c>
      <c r="B13" s="1"/>
      <c r="E13" s="2">
        <v>30</v>
      </c>
    </row>
    <row r="14" spans="1:6">
      <c r="A14" t="s">
        <v>26</v>
      </c>
      <c r="B14" s="1"/>
      <c r="E14" s="2">
        <v>240</v>
      </c>
    </row>
    <row r="15" spans="1:6">
      <c r="A15" t="s">
        <v>20</v>
      </c>
      <c r="B15" s="1"/>
      <c r="E15" s="2">
        <v>420</v>
      </c>
    </row>
    <row r="16" spans="1:6">
      <c r="A16" t="s">
        <v>21</v>
      </c>
      <c r="B16" s="1"/>
      <c r="E16" s="2">
        <v>80</v>
      </c>
    </row>
    <row r="17" spans="1:6">
      <c r="A17" t="s">
        <v>22</v>
      </c>
      <c r="B17" s="1"/>
      <c r="E17" s="2">
        <v>360</v>
      </c>
      <c r="F17" t="s">
        <v>55</v>
      </c>
    </row>
    <row r="18" spans="1:6">
      <c r="B18" s="1"/>
      <c r="E18" s="2">
        <f>SUM(E13:E17)</f>
        <v>1130</v>
      </c>
    </row>
    <row r="19" spans="1:6">
      <c r="A19" t="s">
        <v>8</v>
      </c>
    </row>
    <row r="21" spans="1:6">
      <c r="A21" t="s">
        <v>11</v>
      </c>
      <c r="C21" s="36" t="s">
        <v>371</v>
      </c>
      <c r="D21" s="36" t="s">
        <v>9</v>
      </c>
      <c r="E21" s="37" t="s">
        <v>10</v>
      </c>
      <c r="F21" s="36"/>
    </row>
    <row r="22" spans="1:6">
      <c r="A22" t="s">
        <v>362</v>
      </c>
      <c r="C22" s="2">
        <f>SUM(D22+E22)</f>
        <v>547.08000000000004</v>
      </c>
      <c r="D22" s="35">
        <v>547.08000000000004</v>
      </c>
      <c r="E22" s="2">
        <v>0</v>
      </c>
      <c r="F22" s="2"/>
    </row>
    <row r="23" spans="1:6">
      <c r="A23" t="s">
        <v>363</v>
      </c>
      <c r="C23" s="2">
        <f>SUM(D23+E23)</f>
        <v>158.01</v>
      </c>
      <c r="D23" s="2">
        <f>142.72+15.29</f>
        <v>158.01</v>
      </c>
      <c r="E23" s="2">
        <v>0</v>
      </c>
      <c r="F23" s="2"/>
    </row>
    <row r="24" spans="1:6">
      <c r="A24" t="s">
        <v>364</v>
      </c>
      <c r="C24" s="2">
        <f>SUM(D24+E24)</f>
        <v>138.91</v>
      </c>
      <c r="D24">
        <v>48.49</v>
      </c>
      <c r="E24">
        <v>90.42</v>
      </c>
    </row>
    <row r="25" spans="1:6">
      <c r="A25" t="s">
        <v>349</v>
      </c>
      <c r="D25">
        <v>173.51</v>
      </c>
      <c r="E25">
        <v>110.86</v>
      </c>
    </row>
    <row r="26" spans="1:6">
      <c r="A26" t="s">
        <v>350</v>
      </c>
    </row>
    <row r="27" spans="1:6">
      <c r="A27" t="s">
        <v>351</v>
      </c>
    </row>
    <row r="29" spans="1:6">
      <c r="A29" t="s">
        <v>12</v>
      </c>
      <c r="C29" s="2">
        <f>SUM(C22:C27)</f>
        <v>844</v>
      </c>
    </row>
    <row r="30" spans="1:6">
      <c r="A30" t="s">
        <v>13</v>
      </c>
      <c r="C30" s="4">
        <f>SUM(B5-C29)</f>
        <v>1656</v>
      </c>
    </row>
    <row r="32" spans="1:6">
      <c r="A32" t="s">
        <v>51</v>
      </c>
    </row>
    <row r="33" spans="1:3">
      <c r="A33" t="s">
        <v>53</v>
      </c>
      <c r="B33" s="39" t="s">
        <v>52</v>
      </c>
      <c r="C33" s="39" t="s">
        <v>54</v>
      </c>
    </row>
    <row r="34" spans="1:3">
      <c r="A34" t="s">
        <v>46</v>
      </c>
      <c r="B34" s="38">
        <v>44565</v>
      </c>
      <c r="C34">
        <v>1.25</v>
      </c>
    </row>
    <row r="35" spans="1:3">
      <c r="A35" t="s">
        <v>45</v>
      </c>
      <c r="B35" s="38">
        <v>44565</v>
      </c>
      <c r="C35">
        <v>4</v>
      </c>
    </row>
    <row r="36" spans="1:3">
      <c r="A36" t="s">
        <v>49</v>
      </c>
      <c r="B36" s="38">
        <v>44565</v>
      </c>
      <c r="C36">
        <f>SUM(C34:C35)</f>
        <v>5.25</v>
      </c>
    </row>
    <row r="38" spans="1:3">
      <c r="A38" t="s">
        <v>47</v>
      </c>
      <c r="B38" s="13">
        <v>44696</v>
      </c>
      <c r="C38">
        <v>1.25</v>
      </c>
    </row>
    <row r="39" spans="1:3">
      <c r="A39" t="s">
        <v>48</v>
      </c>
      <c r="B39" s="13">
        <v>44696</v>
      </c>
      <c r="C39">
        <v>1.5</v>
      </c>
    </row>
    <row r="41" spans="1:3">
      <c r="A41" t="s">
        <v>50</v>
      </c>
      <c r="C41">
        <f>SUM(C36-C38-C39)</f>
        <v>2.5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21"/>
  <sheetViews>
    <sheetView workbookViewId="0">
      <selection activeCell="C20" sqref="C20"/>
    </sheetView>
  </sheetViews>
  <sheetFormatPr baseColWidth="10" defaultRowHeight="14"/>
  <sheetData>
    <row r="1" spans="1:4">
      <c r="A1" t="s">
        <v>34</v>
      </c>
    </row>
    <row r="3" spans="1:4">
      <c r="A3" t="s">
        <v>106</v>
      </c>
      <c r="B3">
        <v>1000</v>
      </c>
    </row>
    <row r="5" spans="1:4">
      <c r="A5" t="s">
        <v>331</v>
      </c>
      <c r="B5">
        <v>1000</v>
      </c>
    </row>
    <row r="7" spans="1:4">
      <c r="A7" t="s">
        <v>35</v>
      </c>
    </row>
    <row r="9" spans="1:4">
      <c r="A9" t="s">
        <v>11</v>
      </c>
      <c r="B9" t="s">
        <v>371</v>
      </c>
      <c r="C9" t="s">
        <v>270</v>
      </c>
      <c r="D9" t="s">
        <v>36</v>
      </c>
    </row>
    <row r="11" spans="1:4">
      <c r="A11" t="s">
        <v>340</v>
      </c>
      <c r="B11">
        <f>SUM(C11+D11)</f>
        <v>0</v>
      </c>
    </row>
    <row r="12" spans="1:4">
      <c r="A12" t="s">
        <v>341</v>
      </c>
      <c r="B12">
        <f t="shared" ref="B12:B16" si="0">SUM(C12+D12)</f>
        <v>0</v>
      </c>
    </row>
    <row r="13" spans="1:4">
      <c r="A13" t="s">
        <v>37</v>
      </c>
      <c r="B13">
        <f t="shared" si="0"/>
        <v>0</v>
      </c>
    </row>
    <row r="14" spans="1:4">
      <c r="A14" t="s">
        <v>38</v>
      </c>
      <c r="B14">
        <f t="shared" si="0"/>
        <v>0</v>
      </c>
    </row>
    <row r="15" spans="1:4">
      <c r="A15" t="s">
        <v>39</v>
      </c>
      <c r="B15">
        <f t="shared" si="0"/>
        <v>0</v>
      </c>
    </row>
    <row r="16" spans="1:4">
      <c r="A16" t="s">
        <v>361</v>
      </c>
      <c r="B16">
        <f t="shared" si="0"/>
        <v>0</v>
      </c>
    </row>
    <row r="20" spans="1:3">
      <c r="A20" t="s">
        <v>12</v>
      </c>
      <c r="C20">
        <f>SUM(B11:B16)</f>
        <v>0</v>
      </c>
    </row>
    <row r="21" spans="1:3">
      <c r="A21" t="s">
        <v>365</v>
      </c>
      <c r="C21">
        <f>B3-C20</f>
        <v>1000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O22"/>
  <sheetViews>
    <sheetView workbookViewId="0">
      <selection activeCell="G15" sqref="G15"/>
    </sheetView>
  </sheetViews>
  <sheetFormatPr baseColWidth="10" defaultColWidth="8.83203125" defaultRowHeight="14"/>
  <cols>
    <col min="2" max="2" width="12" customWidth="1"/>
    <col min="3" max="3" width="11.5" customWidth="1"/>
    <col min="5" max="5" width="9.1640625" bestFit="1" customWidth="1"/>
  </cols>
  <sheetData>
    <row r="1" spans="1:15">
      <c r="A1" t="s">
        <v>56</v>
      </c>
      <c r="C1" s="4">
        <v>9000</v>
      </c>
      <c r="E1" t="s">
        <v>232</v>
      </c>
    </row>
    <row r="2" spans="1:15">
      <c r="E2" t="s">
        <v>260</v>
      </c>
      <c r="I2" s="2"/>
    </row>
    <row r="3" spans="1:15">
      <c r="I3" s="2"/>
    </row>
    <row r="4" spans="1:15">
      <c r="C4" t="s">
        <v>422</v>
      </c>
      <c r="E4" t="s">
        <v>93</v>
      </c>
      <c r="G4" t="s">
        <v>423</v>
      </c>
      <c r="I4" s="2" t="s">
        <v>429</v>
      </c>
    </row>
    <row r="5" spans="1:15">
      <c r="A5" t="s">
        <v>340</v>
      </c>
      <c r="C5" s="2">
        <f>G5*18</f>
        <v>792</v>
      </c>
      <c r="D5" s="2"/>
      <c r="E5" s="2"/>
      <c r="G5">
        <v>44</v>
      </c>
      <c r="I5">
        <v>44</v>
      </c>
    </row>
    <row r="6" spans="1:15">
      <c r="A6" t="s">
        <v>341</v>
      </c>
      <c r="C6" s="2">
        <f>44*18</f>
        <v>792</v>
      </c>
      <c r="D6" s="2"/>
      <c r="E6" s="2"/>
      <c r="G6">
        <v>44</v>
      </c>
      <c r="I6">
        <v>44</v>
      </c>
    </row>
    <row r="7" spans="1:15">
      <c r="A7" t="s">
        <v>368</v>
      </c>
      <c r="C7" s="2"/>
      <c r="D7" s="2"/>
      <c r="E7" s="2">
        <f>28*18</f>
        <v>504</v>
      </c>
      <c r="G7">
        <v>28</v>
      </c>
      <c r="I7">
        <v>44</v>
      </c>
    </row>
    <row r="8" spans="1:15">
      <c r="A8" t="s">
        <v>359</v>
      </c>
      <c r="C8" s="2"/>
      <c r="D8" s="2"/>
      <c r="E8" s="2"/>
      <c r="I8">
        <f>44-24</f>
        <v>20</v>
      </c>
      <c r="J8" t="s">
        <v>94</v>
      </c>
      <c r="L8" t="s">
        <v>95</v>
      </c>
    </row>
    <row r="9" spans="1:15">
      <c r="A9" t="s">
        <v>360</v>
      </c>
      <c r="C9" s="2"/>
      <c r="D9" s="2"/>
      <c r="E9" s="2">
        <v>1080</v>
      </c>
      <c r="G9">
        <v>60</v>
      </c>
      <c r="I9">
        <v>44</v>
      </c>
    </row>
    <row r="10" spans="1:15">
      <c r="A10" t="s">
        <v>361</v>
      </c>
      <c r="C10" s="2"/>
      <c r="D10" s="2"/>
      <c r="E10" s="2">
        <v>900</v>
      </c>
      <c r="G10" s="7">
        <v>50</v>
      </c>
      <c r="I10">
        <v>43</v>
      </c>
      <c r="M10" s="7"/>
      <c r="N10" s="7"/>
      <c r="O10" s="7"/>
    </row>
    <row r="11" spans="1:15">
      <c r="A11" t="s">
        <v>362</v>
      </c>
      <c r="C11" s="2"/>
      <c r="D11" s="2"/>
      <c r="E11" s="2">
        <v>864</v>
      </c>
      <c r="G11" s="7">
        <v>48</v>
      </c>
      <c r="I11">
        <v>44</v>
      </c>
    </row>
    <row r="12" spans="1:15">
      <c r="A12" t="s">
        <v>363</v>
      </c>
      <c r="C12" s="2"/>
      <c r="D12" s="2"/>
      <c r="E12" s="2">
        <v>981</v>
      </c>
      <c r="G12" s="7">
        <v>54.5</v>
      </c>
      <c r="I12">
        <v>44</v>
      </c>
    </row>
    <row r="13" spans="1:15">
      <c r="A13" t="s">
        <v>364</v>
      </c>
      <c r="C13" s="2"/>
      <c r="D13" s="2"/>
      <c r="E13" s="2">
        <v>765</v>
      </c>
      <c r="G13" s="7">
        <v>42.5</v>
      </c>
      <c r="I13">
        <v>44</v>
      </c>
    </row>
    <row r="14" spans="1:15">
      <c r="A14" t="s">
        <v>349</v>
      </c>
      <c r="C14" s="2"/>
      <c r="D14" s="2"/>
      <c r="E14" s="2">
        <v>792</v>
      </c>
      <c r="G14" s="7">
        <v>44</v>
      </c>
      <c r="I14">
        <v>44</v>
      </c>
    </row>
    <row r="15" spans="1:15">
      <c r="A15" t="s">
        <v>350</v>
      </c>
      <c r="C15" s="2"/>
      <c r="D15" s="2"/>
      <c r="E15" s="2"/>
      <c r="I15">
        <v>43</v>
      </c>
    </row>
    <row r="16" spans="1:15">
      <c r="A16" t="s">
        <v>351</v>
      </c>
      <c r="C16" s="2"/>
      <c r="D16" s="2"/>
      <c r="E16" s="2"/>
      <c r="I16">
        <v>42</v>
      </c>
    </row>
    <row r="17" spans="1:9">
      <c r="G17" s="2"/>
    </row>
    <row r="18" spans="1:9">
      <c r="A18" t="s">
        <v>425</v>
      </c>
      <c r="C18" s="2">
        <f>SUM(C5:C16)</f>
        <v>1584</v>
      </c>
      <c r="E18" s="2">
        <f>SUM(E5:E16)</f>
        <v>5886</v>
      </c>
      <c r="G18">
        <f>SUM(G5:G16)</f>
        <v>415</v>
      </c>
      <c r="I18">
        <f>SUM(I5:I16)</f>
        <v>500</v>
      </c>
    </row>
    <row r="19" spans="1:9">
      <c r="A19" t="s">
        <v>426</v>
      </c>
      <c r="C19" s="2">
        <f>C18+E18</f>
        <v>7470</v>
      </c>
    </row>
    <row r="20" spans="1:9">
      <c r="A20" t="s">
        <v>246</v>
      </c>
      <c r="C20" s="2">
        <f>C1-C19</f>
        <v>1530</v>
      </c>
      <c r="I20">
        <f>I18-G18</f>
        <v>85</v>
      </c>
    </row>
    <row r="21" spans="1:9">
      <c r="C21" s="2"/>
    </row>
    <row r="22" spans="1:9">
      <c r="A22" t="s">
        <v>128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M64"/>
  <sheetViews>
    <sheetView topLeftCell="A30" workbookViewId="0">
      <selection activeCell="E53" sqref="E53"/>
    </sheetView>
  </sheetViews>
  <sheetFormatPr baseColWidth="10" defaultColWidth="8.83203125" defaultRowHeight="14"/>
  <cols>
    <col min="4" max="4" width="12.6640625" customWidth="1"/>
    <col min="16" max="16" width="12.5" customWidth="1"/>
    <col min="19" max="19" width="2.33203125" customWidth="1"/>
  </cols>
  <sheetData>
    <row r="1" spans="1:10">
      <c r="A1" t="s">
        <v>375</v>
      </c>
      <c r="D1" s="2"/>
    </row>
    <row r="2" spans="1:10">
      <c r="A2" t="s">
        <v>148</v>
      </c>
      <c r="D2" s="2"/>
    </row>
    <row r="3" spans="1:10">
      <c r="D3" s="2"/>
    </row>
    <row r="4" spans="1:10">
      <c r="A4" t="s">
        <v>149</v>
      </c>
      <c r="D4" s="2">
        <v>2807.88</v>
      </c>
    </row>
    <row r="5" spans="1:10">
      <c r="D5" s="2"/>
    </row>
    <row r="6" spans="1:10">
      <c r="A6" t="s">
        <v>376</v>
      </c>
      <c r="D6" s="2">
        <f>16.93+74+58.01</f>
        <v>148.94</v>
      </c>
      <c r="E6" s="2"/>
    </row>
    <row r="7" spans="1:10">
      <c r="A7" t="s">
        <v>377</v>
      </c>
      <c r="D7" s="2">
        <v>212.05</v>
      </c>
      <c r="E7" t="s">
        <v>70</v>
      </c>
    </row>
    <row r="8" spans="1:10">
      <c r="A8" t="s">
        <v>378</v>
      </c>
      <c r="D8" s="2">
        <f>3.28+8.13+13.25+15.29+20.36+23.58+24.2+24.36+24.45+45.15+45.36+3.81+22.73+6.03+1</f>
        <v>280.97999999999996</v>
      </c>
    </row>
    <row r="9" spans="1:10">
      <c r="A9" t="s">
        <v>379</v>
      </c>
      <c r="D9" s="2">
        <f>D4-(D6+D8)+D7</f>
        <v>2590.0100000000002</v>
      </c>
      <c r="E9" s="2"/>
    </row>
    <row r="10" spans="1:10">
      <c r="D10" s="2"/>
    </row>
    <row r="11" spans="1:10">
      <c r="A11" t="s">
        <v>380</v>
      </c>
      <c r="D11" s="2">
        <f>56.64+74</f>
        <v>130.63999999999999</v>
      </c>
      <c r="E11" t="s">
        <v>81</v>
      </c>
    </row>
    <row r="12" spans="1:10">
      <c r="A12" t="s">
        <v>381</v>
      </c>
      <c r="D12" s="2">
        <f>7000+17.76+17.76+9.1+50.55+0.21</f>
        <v>7095.380000000001</v>
      </c>
      <c r="E12" t="s">
        <v>80</v>
      </c>
    </row>
    <row r="13" spans="1:10">
      <c r="A13" t="s">
        <v>382</v>
      </c>
      <c r="D13" s="2">
        <f>2.75+17.76+17.76+27.53+35.75+36.67+74.85+157.16+9.1+9.1+13.05+17.76+18.15+20.39+34.63+35.2+47.12+52.35+60.98+72.72+102.64+10.37+26.33+3.28+6.56+2.75+18.34+1</f>
        <v>932.05000000000007</v>
      </c>
    </row>
    <row r="14" spans="1:10">
      <c r="A14" t="s">
        <v>383</v>
      </c>
      <c r="D14" s="2">
        <f>D9-(D11+D13)+D12</f>
        <v>8622.7000000000007</v>
      </c>
    </row>
    <row r="15" spans="1:10">
      <c r="D15" s="2"/>
      <c r="J15" s="2"/>
    </row>
    <row r="16" spans="1:10">
      <c r="A16" t="s">
        <v>384</v>
      </c>
      <c r="D16" s="2">
        <f>169+16+74</f>
        <v>259</v>
      </c>
      <c r="E16" t="s">
        <v>82</v>
      </c>
    </row>
    <row r="17" spans="1:13">
      <c r="A17" t="s">
        <v>385</v>
      </c>
      <c r="D17" s="2">
        <f>8.46+42.15+7.26+121.12+28.32+48.32+52.9+68.76+28.32+29.57+48.32+68.19+20.17+21.4+25.45+42.52+44.86+52.9+10.19+44.86+4.54+7.26+12.83+12.83+14.27+19.37+26+35.69+73.07+11.12+5.32+1</f>
        <v>1037.3399999999997</v>
      </c>
      <c r="E17" t="s">
        <v>97</v>
      </c>
    </row>
    <row r="18" spans="1:13">
      <c r="A18" t="s">
        <v>386</v>
      </c>
      <c r="D18" s="2">
        <f>361+28.32+48.32+52.9+29.57+44.86+68.19+20.17+52.9+12.83+395.46+0.21</f>
        <v>1114.73</v>
      </c>
      <c r="E18" t="s">
        <v>96</v>
      </c>
    </row>
    <row r="19" spans="1:13">
      <c r="A19" t="s">
        <v>387</v>
      </c>
      <c r="D19" s="2">
        <f>D14-(D16+D17)+D18</f>
        <v>8441.09</v>
      </c>
    </row>
    <row r="20" spans="1:13">
      <c r="D20" s="2"/>
    </row>
    <row r="21" spans="1:13">
      <c r="A21" t="s">
        <v>388</v>
      </c>
      <c r="D21" s="2">
        <f>74+17+21+56.5</f>
        <v>168.5</v>
      </c>
      <c r="E21" t="s">
        <v>98</v>
      </c>
    </row>
    <row r="22" spans="1:13">
      <c r="A22" t="s">
        <v>389</v>
      </c>
      <c r="D22" s="2">
        <f>4.58+26.52+37.74+10.16+19.93+25.45+25.45+15.26+19.93+24.43+25.45+31.51+10.16+14.27+25.45+10.31+11.99+12.25+12.25+14.27+16.1+18.35+19.33+22.67+22.94+22.94+23.44+23.91+24.46+25.45+36.38+42.12+48.37+16.1+22.67+22.94+42.12+42.12+6.11+18.32+19.51+23.44+42.12+12.23+1</f>
        <v>992.50000000000034</v>
      </c>
      <c r="E22" t="s">
        <v>100</v>
      </c>
    </row>
    <row r="23" spans="1:13">
      <c r="A23" t="s">
        <v>390</v>
      </c>
      <c r="D23" s="2">
        <f>10.16+19.93+25.45+25.45+24.43+11.99+12.25+14.27+22.94+23.44+25.45+36.38+48.37+16.1+22.67+22.94+42.12+42.12+42.12+12.23+0.19</f>
        <v>501</v>
      </c>
      <c r="E23" t="s">
        <v>99</v>
      </c>
    </row>
    <row r="24" spans="1:13">
      <c r="A24" t="s">
        <v>391</v>
      </c>
      <c r="D24" s="2">
        <f>D19-(D21+D22)+D23</f>
        <v>7781.09</v>
      </c>
    </row>
    <row r="25" spans="1:13">
      <c r="D25" s="2"/>
    </row>
    <row r="26" spans="1:13">
      <c r="A26" t="s">
        <v>428</v>
      </c>
      <c r="D26" s="2">
        <v>340</v>
      </c>
      <c r="E26" t="s">
        <v>427</v>
      </c>
    </row>
    <row r="27" spans="1:13">
      <c r="A27" t="s">
        <v>392</v>
      </c>
      <c r="D27" s="2">
        <v>776.58</v>
      </c>
      <c r="E27" t="s">
        <v>104</v>
      </c>
      <c r="M27" s="2"/>
    </row>
    <row r="28" spans="1:13">
      <c r="A28" t="s">
        <v>393</v>
      </c>
      <c r="D28" s="2">
        <f>SUM(5988+50.18+0.23)</f>
        <v>6038.41</v>
      </c>
      <c r="E28" t="s">
        <v>105</v>
      </c>
      <c r="M28" s="2"/>
    </row>
    <row r="29" spans="1:13">
      <c r="A29" t="s">
        <v>394</v>
      </c>
      <c r="D29" s="2">
        <f>D24-(D26+D27)+D28</f>
        <v>12702.92</v>
      </c>
      <c r="M29" s="2"/>
    </row>
    <row r="30" spans="1:13">
      <c r="D30" s="2"/>
      <c r="M30" s="2"/>
    </row>
    <row r="31" spans="1:13">
      <c r="A31" t="s">
        <v>395</v>
      </c>
      <c r="D31" s="2">
        <f>SUM(444+2038.91)</f>
        <v>2482.91</v>
      </c>
      <c r="E31" t="s">
        <v>117</v>
      </c>
      <c r="M31" s="2"/>
    </row>
    <row r="32" spans="1:13">
      <c r="A32" t="s">
        <v>396</v>
      </c>
      <c r="D32" s="2">
        <f>SUM(287.18+334.23+58.6+12.06+13.88+162+107.46+1+96.37+307)</f>
        <v>1379.7800000000002</v>
      </c>
      <c r="E32" t="s">
        <v>0</v>
      </c>
      <c r="M32" s="2"/>
    </row>
    <row r="33" spans="1:13">
      <c r="A33" t="s">
        <v>397</v>
      </c>
      <c r="D33" s="2">
        <f>SUM(200+142.69+51.24+18.35+15.29+10.42+12.99+56.02+0.27)</f>
        <v>507.27000000000004</v>
      </c>
      <c r="E33" t="s">
        <v>116</v>
      </c>
      <c r="M33" s="2"/>
    </row>
    <row r="34" spans="1:13">
      <c r="A34" t="s">
        <v>398</v>
      </c>
      <c r="D34" s="2">
        <f>D29-(D31+D32)+D33</f>
        <v>9347.5</v>
      </c>
      <c r="F34" s="7"/>
      <c r="G34" s="7"/>
      <c r="H34" s="7"/>
      <c r="M34" s="2"/>
    </row>
    <row r="35" spans="1:13">
      <c r="D35" s="2"/>
      <c r="M35" s="2"/>
    </row>
    <row r="36" spans="1:13">
      <c r="A36" t="s">
        <v>399</v>
      </c>
      <c r="D36" s="2">
        <v>0</v>
      </c>
      <c r="M36" s="2"/>
    </row>
    <row r="37" spans="1:13">
      <c r="A37" t="s">
        <v>400</v>
      </c>
      <c r="D37" s="2">
        <f>SUM(119+1+10.29+46.88+547.08+307.44+420.6)</f>
        <v>1452.29</v>
      </c>
      <c r="E37" t="s">
        <v>14</v>
      </c>
      <c r="M37" s="2"/>
    </row>
    <row r="38" spans="1:13">
      <c r="A38" t="s">
        <v>401</v>
      </c>
      <c r="D38" s="2">
        <f>SUM(400+420.6+0.23+96.37)</f>
        <v>917.2</v>
      </c>
      <c r="E38" t="s">
        <v>15</v>
      </c>
      <c r="M38" s="2"/>
    </row>
    <row r="39" spans="1:13">
      <c r="A39" t="s">
        <v>284</v>
      </c>
      <c r="D39" s="2">
        <f>D34-(D36+D37)+D38</f>
        <v>8812.41</v>
      </c>
      <c r="M39" s="2"/>
    </row>
    <row r="40" spans="1:13">
      <c r="D40" s="2"/>
      <c r="M40" s="2"/>
    </row>
    <row r="41" spans="1:13">
      <c r="A41" t="s">
        <v>402</v>
      </c>
      <c r="D41" s="2">
        <v>1130</v>
      </c>
      <c r="M41" s="2"/>
    </row>
    <row r="42" spans="1:13">
      <c r="A42" t="s">
        <v>403</v>
      </c>
      <c r="D42" s="2">
        <v>914.51</v>
      </c>
      <c r="E42" t="s">
        <v>24</v>
      </c>
      <c r="M42" s="2"/>
    </row>
    <row r="43" spans="1:13">
      <c r="A43" t="s">
        <v>23</v>
      </c>
      <c r="D43" s="2">
        <f>SUM(0.17+186.91)</f>
        <v>187.07999999999998</v>
      </c>
      <c r="E43" t="s">
        <v>41</v>
      </c>
      <c r="M43" s="2"/>
    </row>
    <row r="44" spans="1:13">
      <c r="A44" t="s">
        <v>283</v>
      </c>
      <c r="D44" s="2">
        <f>D39-(D41+D42)+D43</f>
        <v>6954.98</v>
      </c>
      <c r="M44" s="2"/>
    </row>
    <row r="45" spans="1:13">
      <c r="M45" s="2"/>
    </row>
    <row r="46" spans="1:13">
      <c r="A46" t="s">
        <v>404</v>
      </c>
      <c r="D46" s="2">
        <v>199</v>
      </c>
      <c r="E46" t="s">
        <v>29</v>
      </c>
      <c r="M46" s="2"/>
    </row>
    <row r="47" spans="1:13">
      <c r="A47" t="s">
        <v>405</v>
      </c>
      <c r="D47" s="2">
        <v>992.69</v>
      </c>
      <c r="E47" t="s">
        <v>30</v>
      </c>
      <c r="M47" s="2"/>
    </row>
    <row r="48" spans="1:13">
      <c r="A48" t="s">
        <v>406</v>
      </c>
      <c r="D48" s="2">
        <v>192.16</v>
      </c>
      <c r="E48" t="s">
        <v>31</v>
      </c>
      <c r="M48" s="2"/>
    </row>
    <row r="49" spans="1:13">
      <c r="A49" t="s">
        <v>407</v>
      </c>
      <c r="D49" s="2">
        <f>D44-(D46+D47)+D48</f>
        <v>5955.4499999999989</v>
      </c>
      <c r="M49" s="2"/>
    </row>
    <row r="50" spans="1:13">
      <c r="D50" s="2"/>
      <c r="M50" s="2"/>
    </row>
    <row r="51" spans="1:13">
      <c r="A51" t="s">
        <v>408</v>
      </c>
      <c r="D51" s="2">
        <v>171.03</v>
      </c>
      <c r="E51" t="s">
        <v>43</v>
      </c>
      <c r="M51" s="2"/>
    </row>
    <row r="52" spans="1:13">
      <c r="A52" t="s">
        <v>409</v>
      </c>
      <c r="D52" s="2">
        <v>401.4</v>
      </c>
      <c r="E52" t="s">
        <v>44</v>
      </c>
      <c r="M52" s="2"/>
    </row>
    <row r="53" spans="1:13">
      <c r="A53" t="s">
        <v>410</v>
      </c>
      <c r="D53" s="2">
        <f>SUM(1000+72.65)</f>
        <v>1072.6500000000001</v>
      </c>
      <c r="E53" t="s">
        <v>42</v>
      </c>
      <c r="M53" s="2"/>
    </row>
    <row r="54" spans="1:13">
      <c r="A54" t="s">
        <v>411</v>
      </c>
      <c r="D54" s="2">
        <f>D49-(D51+D52)+D53</f>
        <v>6455.6699999999983</v>
      </c>
      <c r="M54" s="2"/>
    </row>
    <row r="55" spans="1:13">
      <c r="D55" s="2"/>
      <c r="M55" s="2"/>
    </row>
    <row r="56" spans="1:13">
      <c r="A56" t="s">
        <v>412</v>
      </c>
      <c r="D56" s="2"/>
      <c r="M56" s="2"/>
    </row>
    <row r="57" spans="1:13">
      <c r="A57" t="s">
        <v>413</v>
      </c>
      <c r="D57" s="2"/>
      <c r="M57" s="2"/>
    </row>
    <row r="58" spans="1:13">
      <c r="A58" t="s">
        <v>414</v>
      </c>
      <c r="D58" s="2"/>
      <c r="M58" s="2"/>
    </row>
    <row r="59" spans="1:13">
      <c r="A59" t="s">
        <v>415</v>
      </c>
      <c r="D59" s="2">
        <f>D54-(D56+D57)+D58</f>
        <v>6455.6699999999983</v>
      </c>
      <c r="M59" s="2"/>
    </row>
    <row r="60" spans="1:13">
      <c r="D60" s="2"/>
      <c r="M60" s="2"/>
    </row>
    <row r="61" spans="1:13">
      <c r="A61" t="s">
        <v>416</v>
      </c>
      <c r="D61" s="2"/>
      <c r="M61" s="2"/>
    </row>
    <row r="62" spans="1:13">
      <c r="A62" t="s">
        <v>417</v>
      </c>
      <c r="D62" s="2"/>
    </row>
    <row r="63" spans="1:13">
      <c r="A63" t="s">
        <v>418</v>
      </c>
      <c r="D63" s="2"/>
    </row>
    <row r="64" spans="1:13">
      <c r="A64" t="s">
        <v>419</v>
      </c>
      <c r="D64" s="2">
        <f>D59-(D61+D62)+D63</f>
        <v>6455.6699999999983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Budget</vt:lpstr>
      <vt:lpstr>PLA Grant expenditures</vt:lpstr>
      <vt:lpstr>PLA Collection Recap</vt:lpstr>
      <vt:lpstr>Grant Match</vt:lpstr>
      <vt:lpstr>OWL</vt:lpstr>
      <vt:lpstr>ARPA Grant Expenditures</vt:lpstr>
      <vt:lpstr>Book Hook Grant Expenditures</vt:lpstr>
      <vt:lpstr>Payroll</vt:lpstr>
      <vt:lpstr>Checking account</vt:lpstr>
      <vt:lpstr>contingency fund</vt:lpstr>
      <vt:lpstr>Cookbook fundraiser</vt:lpstr>
      <vt:lpstr>Covid Expenses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speno</dc:creator>
  <cp:lastModifiedBy>maryclaire tarlow</cp:lastModifiedBy>
  <cp:lastPrinted>2022-01-24T15:00:22Z</cp:lastPrinted>
  <dcterms:created xsi:type="dcterms:W3CDTF">2018-06-08T20:06:16Z</dcterms:created>
  <dcterms:modified xsi:type="dcterms:W3CDTF">2022-05-24T22:44:59Z</dcterms:modified>
</cp:coreProperties>
</file>